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2025-1-0611晓风印月车位租金\"/>
    </mc:Choice>
  </mc:AlternateContent>
  <xr:revisionPtr revIDLastSave="0" documentId="13_ncr:1_{EAB76042-B4C3-42D6-B57F-7A70A945A738}" xr6:coauthVersionLast="47" xr6:coauthVersionMax="47" xr10:uidLastSave="{00000000-0000-0000-0000-000000000000}"/>
  <bookViews>
    <workbookView xWindow="-120" yWindow="-120" windowWidth="38640" windowHeight="21240" tabRatio="899" firstSheet="11"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房源表" sheetId="93"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商业售价" sheetId="84" state="hidden" r:id="rId45"/>
    <sheet name="销售案例" sheetId="82" state="hidden" r:id="rId46"/>
    <sheet name="地价-分区" sheetId="79" state="hidden" r:id="rId47"/>
    <sheet name="地价" sheetId="71" state="hidden" r:id="rId48"/>
    <sheet name="区片价" sheetId="44" state="hidden" r:id="rId49"/>
    <sheet name="存贷款利率" sheetId="73"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94" r:id="rId56"/>
  </sheets>
  <externalReferences>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4" hidden="1">'比较法-仓储'!$A$1:$L$37</definedName>
    <definedName name="_xlnm._FilterDatabase" localSheetId="32" hidden="1">'比较法-车位'!$A$1:$L$39</definedName>
    <definedName name="_xlnm._FilterDatabase" localSheetId="31" hidden="1">'比较法-工业'!$A$1:$L$43</definedName>
    <definedName name="_xlnm._FilterDatabase" localSheetId="44"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2">'比较法-车位'!$A$1:$K$44</definedName>
    <definedName name="_xlnm.Print_Area" localSheetId="31">'比较法-工业'!$A$1:$K$48,'比较法-工业'!$A$51:$M$113</definedName>
    <definedName name="_xlnm.Print_Area" localSheetId="44">'比较法-商业售价'!$A$1:$K$54,'比较法-商业售价'!$A$57:$M$131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4">'比较法-商业售价'!$B$116:$M$116</definedName>
    <definedName name="商业层高" localSheetId="19">'[1]比较法-商业'!$B$116:$M$116</definedName>
    <definedName name="商业层高">'比较法-商业租金'!$B$116:$M$116</definedName>
    <definedName name="商业成新度" localSheetId="44">'比较法-商业售价'!$B$109:$M$109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4">'比较法-商业售价'!$B$107:$M$107</definedName>
    <definedName name="商业公共部分装修" localSheetId="19">'[1]比较法-商业'!$B$107:$M$107</definedName>
    <definedName name="商业公共部分装修">'比较法-商业租金'!$B$107:$M$107</definedName>
    <definedName name="商业基础设施水平" localSheetId="44">'比较法-商业售价'!$B$112:$M$112</definedName>
    <definedName name="商业基础设施水平" localSheetId="19">'[1]比较法-商业'!$B$112:$M$112</definedName>
    <definedName name="商业基础设施水平">'比较法-商业租金'!$B$112:$M$112</definedName>
    <definedName name="商业建筑结构" localSheetId="44">'比较法-商业售价'!$B$105:$M$105</definedName>
    <definedName name="商业建筑结构" localSheetId="19">'[1]比较法-商业'!$B$105:$M$105</definedName>
    <definedName name="商业建筑结构">'比较法-商业租金'!$B$105:$M$105</definedName>
    <definedName name="商业交易情况" localSheetId="44">'比较法-商业售价'!$A$61:$M$61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4">'比较法-商业售价'!$B$120:$M$120</definedName>
    <definedName name="商业进深比" localSheetId="19">'[1]比较法-商业'!$B$120:$M$120</definedName>
    <definedName name="商业进深比">'比较法-商业租金'!$B$120:$M$120</definedName>
    <definedName name="商业类型" localSheetId="44">'比较法-商业售价'!$B$100:$M$100</definedName>
    <definedName name="商业类型" localSheetId="19">'[1]比较法-商业'!$B$100:$M$100</definedName>
    <definedName name="商业类型">'比较法-商业租金'!$B$100:$M$100</definedName>
    <definedName name="商业临街状况" localSheetId="44">'比较法-商业售价'!$B$86:$M$86</definedName>
    <definedName name="商业临街状况" localSheetId="19">'[1]比较法-商业'!$B$86:$M$86</definedName>
    <definedName name="商业临街状况">'比较法-商业租金'!$B$86:$M$86</definedName>
    <definedName name="商业楼层" localSheetId="44">'比较法-商业售价'!$B$92:$M$92</definedName>
    <definedName name="商业楼层" localSheetId="19">'[1]比较法-商业'!$B$92:$M$92</definedName>
    <definedName name="商业楼层">'比较法-商业租金'!$B$92:$M$92</definedName>
    <definedName name="商业内部装修" localSheetId="44">'比较法-商业售价'!$B$122:$M$122</definedName>
    <definedName name="商业内部装修" localSheetId="19">'[1]比较法-商业'!$B$122:$M$122</definedName>
    <definedName name="商业内部装修">'比较法-商业租金'!$B$122:$M$122</definedName>
    <definedName name="商业人流量" localSheetId="44">'比较法-商业售价'!$B$90:$M$90</definedName>
    <definedName name="商业人流量" localSheetId="19">'[1]比较法-商业'!$B$90:$M$90</definedName>
    <definedName name="商业人流量">'比较法-商业租金'!$B$90:$M$90</definedName>
    <definedName name="商业业态" localSheetId="44">'比较法-商业售价'!$B$114:$M$114</definedName>
    <definedName name="商业业态" localSheetId="19">'[1]比较法-商业'!$B$114:$M$114</definedName>
    <definedName name="商业业态">'比较法-商业租金'!$B$114:$M$114</definedName>
    <definedName name="商业用途" localSheetId="44">'比较法-商业售价'!$B$63:$M$63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B11" i="74" l="1"/>
  <c r="E37" i="35"/>
  <c r="G37" i="35"/>
  <c r="I37" i="35"/>
  <c r="M28" i="35"/>
  <c r="I5" i="35"/>
  <c r="G5" i="35"/>
  <c r="B14" i="74"/>
  <c r="I27" i="35"/>
  <c r="G27" i="35"/>
  <c r="E27" i="35"/>
  <c r="E5" i="35"/>
  <c r="Y16" i="94"/>
  <c r="Y17" i="94"/>
  <c r="Y18" i="94"/>
  <c r="Y19" i="94"/>
  <c r="Y20" i="94"/>
  <c r="Y21" i="94"/>
  <c r="Y22" i="94"/>
  <c r="Y23" i="94"/>
  <c r="Y25" i="94"/>
  <c r="H45" i="93" l="1"/>
  <c r="D94" i="36"/>
  <c r="E94" i="36" s="1"/>
  <c r="E76" i="35" l="1"/>
  <c r="F76" i="35" s="1"/>
  <c r="G76" i="35" s="1"/>
  <c r="D76" i="35"/>
  <c r="C81" i="35" l="1"/>
  <c r="I5" i="36"/>
  <c r="G5" i="36"/>
  <c r="E5" i="36"/>
  <c r="I30" i="36"/>
  <c r="G30" i="36"/>
  <c r="E30" i="36"/>
  <c r="I35" i="36"/>
  <c r="G35" i="36"/>
  <c r="E35" i="36"/>
  <c r="M38" i="81"/>
  <c r="M35" i="81"/>
  <c r="B39" i="36"/>
  <c r="C173" i="92"/>
  <c r="F81" i="35"/>
  <c r="E81" i="35"/>
  <c r="D81" i="35"/>
  <c r="M37" i="81" l="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H14" i="36" s="1"/>
  <c r="U14"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J33" i="36"/>
  <c r="AC33" i="36" s="1"/>
  <c r="H22" i="35"/>
  <c r="AB22" i="35" s="1"/>
  <c r="W28"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U30" i="36"/>
  <c r="H30" i="35"/>
  <c r="AB30" i="35" s="1"/>
  <c r="F22" i="35"/>
  <c r="AA22" i="35" s="1"/>
  <c r="H10" i="35"/>
  <c r="U10" i="35" s="1"/>
  <c r="F33" i="36"/>
  <c r="AA33" i="36" s="1"/>
  <c r="W30" i="36"/>
  <c r="H16" i="36"/>
  <c r="AB16" i="36" s="1"/>
  <c r="E85" i="36"/>
  <c r="F85" i="36"/>
  <c r="G85" i="36" s="1"/>
  <c r="H85" i="36" s="1"/>
  <c r="I85" i="36" s="1"/>
  <c r="J85" i="36"/>
  <c r="K85" i="36" s="1"/>
  <c r="L85" i="36" s="1"/>
  <c r="M85" i="36" s="1"/>
  <c r="J29" i="36"/>
  <c r="AC29" i="36" s="1"/>
  <c r="F12" i="36"/>
  <c r="S12" i="36" s="1"/>
  <c r="F23" i="35"/>
  <c r="AA23" i="35" s="1"/>
  <c r="J32" i="35"/>
  <c r="AC32" i="35" s="1"/>
  <c r="J16" i="35"/>
  <c r="AC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AA22" i="36"/>
  <c r="U22" i="36"/>
  <c r="AA25" i="36"/>
  <c r="U24" i="36"/>
  <c r="U23" i="36"/>
  <c r="AA25"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25" i="36"/>
  <c r="AA13" i="36"/>
  <c r="W9" i="36"/>
  <c r="W22"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F5" i="73"/>
  <c r="M26" i="15"/>
  <c r="F8" i="15"/>
  <c r="F43" i="15"/>
  <c r="C76" i="15"/>
  <c r="C19" i="9"/>
  <c r="E2" i="68"/>
  <c r="M24" i="15"/>
  <c r="F3" i="73"/>
  <c r="C76" i="67"/>
  <c r="M23" i="15"/>
  <c r="D35" i="9"/>
  <c r="L47" i="15"/>
  <c r="E7" i="76"/>
  <c r="L47" i="67"/>
  <c r="F37" i="15"/>
  <c r="B7" i="76"/>
  <c r="AO13" i="1"/>
  <c r="M6" i="15"/>
  <c r="E11" i="76"/>
  <c r="M29" i="67"/>
  <c r="F20" i="31"/>
  <c r="M24" i="67"/>
  <c r="M9" i="67"/>
  <c r="M26" i="67"/>
  <c r="F7" i="73"/>
  <c r="F6" i="67"/>
  <c r="E2" i="69"/>
  <c r="M29" i="15"/>
  <c r="M6" i="67"/>
  <c r="C20" i="9"/>
  <c r="F40" i="15"/>
  <c r="B12" i="76"/>
  <c r="F16" i="67"/>
  <c r="F9" i="67"/>
  <c r="M22" i="15"/>
  <c r="B10" i="76"/>
  <c r="B9" i="76"/>
  <c r="E8" i="76"/>
  <c r="D20" i="9"/>
  <c r="F16" i="15"/>
  <c r="E12" i="76"/>
  <c r="E9" i="76"/>
  <c r="F7" i="15"/>
  <c r="F36" i="15"/>
  <c r="B13" i="76"/>
  <c r="F36" i="67"/>
  <c r="E13" i="76"/>
  <c r="F6" i="73"/>
  <c r="M9" i="15"/>
  <c r="F26" i="15"/>
  <c r="J15" i="15"/>
  <c r="D19" i="9"/>
  <c r="F40" i="67"/>
  <c r="F6" i="15"/>
  <c r="F37" i="67"/>
  <c r="E10" i="76"/>
  <c r="F4" i="73"/>
  <c r="M28" i="15"/>
  <c r="F8" i="67"/>
  <c r="F38" i="67"/>
  <c r="F42" i="15"/>
  <c r="F13" i="15"/>
  <c r="D34" i="9"/>
  <c r="B11" i="76"/>
  <c r="M23" i="67"/>
  <c r="F42" i="67"/>
  <c r="M22" i="67"/>
  <c r="F9" i="15"/>
  <c r="B8" i="76"/>
  <c r="F38" i="15"/>
  <c r="M8" i="15"/>
  <c r="F16" i="35" l="1"/>
  <c r="S16" i="35" s="1"/>
  <c r="W24" i="35"/>
  <c r="H16" i="35"/>
  <c r="U16" i="35" s="1"/>
  <c r="U34" i="35"/>
  <c r="U33" i="36"/>
  <c r="W23" i="36"/>
  <c r="S33" i="36"/>
  <c r="S34" i="36"/>
  <c r="AA34" i="36"/>
  <c r="J34" i="36"/>
  <c r="W34" i="36" s="1"/>
  <c r="H34" i="36"/>
  <c r="S23" i="36"/>
  <c r="AC27" i="35"/>
  <c r="U32" i="36"/>
  <c r="F20" i="36"/>
  <c r="AA20" i="36" s="1"/>
  <c r="J20" i="36"/>
  <c r="W20" i="36" s="1"/>
  <c r="J14" i="36"/>
  <c r="AC14" i="36" s="1"/>
  <c r="W23" i="35"/>
  <c r="B69" i="43"/>
  <c r="B67" i="43"/>
  <c r="B56" i="43"/>
  <c r="F20" i="35"/>
  <c r="AA20" i="35" s="1"/>
  <c r="J20" i="35"/>
  <c r="W20" i="35" s="1"/>
  <c r="H20" i="35"/>
  <c r="U20" i="35" s="1"/>
  <c r="H14" i="35"/>
  <c r="AB14" i="35" s="1"/>
  <c r="J30" i="35"/>
  <c r="J29" i="35"/>
  <c r="F29" i="35"/>
  <c r="AA29" i="35" s="1"/>
  <c r="H29" i="35"/>
  <c r="AB20" i="36"/>
  <c r="S20" i="36"/>
  <c r="E62" i="36"/>
  <c r="F62" i="36" s="1"/>
  <c r="G62" i="36" s="1"/>
  <c r="F14" i="36"/>
  <c r="AA14" i="36" s="1"/>
  <c r="AB14" i="36"/>
  <c r="W29" i="36"/>
  <c r="S16" i="36"/>
  <c r="U16" i="36"/>
  <c r="AC26" i="36"/>
  <c r="AA26" i="36"/>
  <c r="U31" i="36"/>
  <c r="AB28" i="36"/>
  <c r="W28" i="36"/>
  <c r="U31" i="35"/>
  <c r="S24" i="35"/>
  <c r="AB23" i="35"/>
  <c r="AB24" i="35"/>
  <c r="S23" i="35"/>
  <c r="U22" i="35"/>
  <c r="S22" i="35"/>
  <c r="W22" i="35"/>
  <c r="S27" i="35"/>
  <c r="W16"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L48" i="67"/>
  <c r="D7" i="73"/>
  <c r="D4" i="73"/>
  <c r="L48" i="15"/>
  <c r="F13" i="67"/>
  <c r="D9" i="69"/>
  <c r="D6" i="73"/>
  <c r="F26" i="67"/>
  <c r="F27" i="69"/>
  <c r="F7" i="67"/>
  <c r="C36" i="69"/>
  <c r="C16" i="15"/>
  <c r="M8" i="67"/>
  <c r="D3" i="73"/>
  <c r="F43" i="67"/>
  <c r="M28" i="67"/>
  <c r="D5" i="73"/>
  <c r="AB16" i="35" l="1"/>
  <c r="AA16" i="35"/>
  <c r="S29" i="35"/>
  <c r="AC34" i="36"/>
  <c r="AB34" i="36"/>
  <c r="T36" i="36" s="1"/>
  <c r="U34" i="36"/>
  <c r="U14" i="35"/>
  <c r="W14" i="36"/>
  <c r="AC20" i="36"/>
  <c r="V36" i="36" s="1"/>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G1" i="73"/>
  <c r="C16" i="67"/>
  <c r="W7" i="37" l="1"/>
  <c r="F67" i="39"/>
  <c r="G36" i="36"/>
  <c r="R37" i="36"/>
  <c r="I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G41" i="36" l="1"/>
  <c r="H41" i="36" s="1"/>
  <c r="T8" i="43"/>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34" i="69"/>
  <c r="C17" i="67"/>
  <c r="C14" i="67"/>
  <c r="C17" i="15"/>
  <c r="D10" i="69"/>
  <c r="C38" i="36" l="1"/>
  <c r="E37" i="43"/>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D38" i="36" l="1"/>
  <c r="C30" i="43"/>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D2" i="33"/>
  <c r="L51" i="67"/>
  <c r="B3" i="69"/>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7" i="1"/>
  <c r="AO8" i="1"/>
  <c r="AO6" i="1"/>
  <c r="AO12"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D119" i="9"/>
  <c r="D5" i="52"/>
  <c r="B49" i="72"/>
  <c r="B53" i="72"/>
  <c r="F5" i="52"/>
  <c r="F119" i="9"/>
  <c r="E97" i="9"/>
  <c r="E96" i="9"/>
  <c r="C96" i="9"/>
  <c r="B52" i="72"/>
  <c r="G4" i="52"/>
  <c r="D8" i="52"/>
  <c r="B22" i="72"/>
  <c r="D6" i="53"/>
  <c r="C73" i="9"/>
  <c r="C78" i="9"/>
  <c r="B51" i="72"/>
  <c r="G118" i="9"/>
  <c r="F118" i="9"/>
  <c r="F4" i="52"/>
  <c r="B21" i="72"/>
  <c r="D7" i="53"/>
  <c r="B32" i="72"/>
  <c r="D14" i="53"/>
  <c r="H5" i="52"/>
  <c r="H119" i="9"/>
  <c r="D54" i="9"/>
  <c r="C68" i="9"/>
  <c r="B48" i="72"/>
  <c r="E4" i="52"/>
  <c r="D122" i="9"/>
  <c r="D123" i="9"/>
  <c r="D9" i="52"/>
  <c r="C86" i="9"/>
  <c r="C93" i="9"/>
  <c r="C85" i="9"/>
  <c r="C95" i="9"/>
  <c r="C97" i="9"/>
  <c r="D58" i="9"/>
  <c r="D56" i="9"/>
  <c r="M54" i="9"/>
  <c r="E81" i="9"/>
  <c r="E80" i="9"/>
  <c r="C80" i="9"/>
  <c r="P57" i="9"/>
  <c r="N58" i="9"/>
  <c r="H102" i="9"/>
  <c r="C5" i="74"/>
  <c r="C6" i="74"/>
  <c r="M55" i="9"/>
  <c r="C64" i="9"/>
  <c r="C63" i="9"/>
  <c r="C67" i="9"/>
  <c r="D59" i="9"/>
  <c r="C104" i="9"/>
  <c r="H4" i="52"/>
  <c r="M48" i="9"/>
  <c r="D52" i="9"/>
  <c r="D53" i="9"/>
  <c r="D5" i="53"/>
  <c r="B20" i="72"/>
  <c r="C72" i="9"/>
  <c r="C79" i="9"/>
  <c r="C81" i="9"/>
  <c r="C105" i="9"/>
  <c r="I4" i="52"/>
  <c r="N60" i="9"/>
  <c r="D45" i="9"/>
  <c r="D55" i="9"/>
  <c r="M53" i="9"/>
  <c r="N57" i="9"/>
  <c r="N59" i="9"/>
  <c r="N61" i="9"/>
  <c r="D13" i="53"/>
  <c r="B30" i="72"/>
  <c r="H101" i="9"/>
  <c r="H107" i="9"/>
  <c r="H108" i="9"/>
  <c r="D15" i="53"/>
  <c r="B31" i="7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<sst xmlns="http://schemas.openxmlformats.org/spreadsheetml/2006/main" count="8998" uniqueCount="4020">
  <si>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</si>
  <si>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</si>
  <si>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</si>
  <si>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</si>
  <si>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</si>
  <si>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</si>
  <si>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</si>
  <si>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</si>
  <si>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</si>
  <si>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</si>
  <si>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</si>
  <si>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</si>
  <si>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</si>
  <si>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</si>
  <si>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</si>
  <si>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</si>
  <si>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</si>
  <si>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</si>
  <si>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</si>
  <si>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</si>
  <si>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</si>
  <si>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</si>
  <si>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</si>
  <si>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</si>
  <si>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</si>
  <si>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</si>
  <si>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</si>
  <si>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</si>
  <si>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</si>
  <si>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</si>
  <si>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</si>
  <si>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</si>
  <si>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</si>
  <si>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</si>
  <si>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</si>
  <si>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</si>
  <si>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</si>
  <si>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</si>
  <si>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</si>
  <si>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</si>
  <si>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</si>
  <si>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</si>
  <si>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</si>
  <si>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</si>
  <si>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</si>
  <si>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</si>
  <si>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</si>
  <si>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</si>
  <si>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</si>
  <si>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</si>
  <si>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</si>
  <si>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</si>
  <si>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</si>
  <si>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</si>
  <si>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</si>
  <si>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</si>
  <si>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</si>
  <si>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</si>
  <si>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</si>
  <si>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</si>
  <si>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</si>
  <si>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</si>
  <si>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</si>
  <si>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</si>
  <si>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</si>
  <si>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</si>
  <si>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</si>
  <si>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</si>
  <si>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</si>
  <si>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</si>
  <si>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</si>
  <si>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</si>
  <si>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</si>
  <si>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</si>
  <si>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</si>
  <si>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</si>
  <si>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</si>
  <si>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</si>
  <si>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</si>
  <si>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</si>
  <si>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</si>
  <si>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</si>
  <si>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</si>
  <si>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</si>
  <si>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</si>
  <si>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</si>
  <si>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</si>
  <si>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</si>
  <si>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</si>
  <si>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</si>
  <si>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</si>
  <si>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</si>
  <si>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</si>
  <si>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</si>
  <si>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</si>
  <si>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</si>
  <si>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</si>
  <si>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</si>
  <si>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</si>
  <si>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</si>
  <si>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</si>
  <si>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</si>
  <si>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</si>
  <si>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</si>
  <si>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</si>
  <si>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</si>
  <si>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</si>
  <si>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</si>
  <si>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</si>
  <si>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</si>
  <si>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</si>
  <si>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</si>
  <si>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</si>
  <si>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</si>
  <si>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</si>
  <si>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</si>
  <si>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</si>
  <si>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</si>
  <si>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</si>
  <si>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</si>
  <si>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</si>
  <si>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</si>
  <si>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</si>
  <si>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</si>
  <si>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</si>
  <si>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</si>
  <si>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</si>
  <si>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</si>
  <si>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</si>
  <si>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</si>
  <si>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</si>
  <si>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</si>
  <si>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</si>
  <si>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</si>
  <si>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</si>
  <si>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</si>
  <si>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</si>
  <si>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</si>
  <si>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</si>
  <si>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</si>
  <si>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</si>
  <si>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</si>
  <si>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</si>
  <si>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</si>
  <si>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</si>
  <si>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</si>
  <si>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</si>
  <si>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</si>
  <si>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</si>
  <si>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</si>
  <si>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</si>
  <si>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</si>
  <si>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</si>
  <si>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</si>
  <si>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</si>
  <si>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</si>
  <si>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</si>
  <si>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</si>
  <si>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</si>
  <si>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</si>
  <si>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</si>
  <si>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</si>
  <si>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</si>
  <si>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</si>
  <si>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</si>
  <si>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</si>
  <si>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</si>
  <si>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</si>
  <si>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</si>
  <si>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</si>
  <si>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</si>
  <si>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</si>
  <si>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</si>
  <si>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</si>
  <si>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</si>
  <si>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</si>
  <si>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</si>
  <si>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</si>
  <si>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</si>
  <si>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</si>
  <si>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</si>
  <si>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</si>
  <si>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</si>
  <si>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</si>
  <si>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</si>
  <si>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</si>
  <si>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</si>
  <si>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</si>
  <si>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</si>
  <si>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</si>
  <si>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</si>
  <si>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</si>
  <si>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</si>
  <si>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</si>
  <si>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</si>
  <si>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</si>
  <si>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</si>
  <si>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</si>
  <si>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</si>
  <si>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</si>
  <si>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</si>
  <si>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</si>
  <si>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</si>
  <si>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</si>
  <si>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</si>
  <si>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</si>
  <si>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</si>
  <si>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</si>
  <si>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</si>
  <si>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</si>
  <si>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</si>
  <si>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</si>
  <si>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</si>
  <si>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</si>
  <si>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</si>
  <si>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</si>
  <si>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</si>
  <si>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</si>
  <si>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</si>
  <si>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</si>
  <si>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</si>
  <si>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</si>
  <si>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</si>
  <si>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</si>
  <si>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</si>
  <si>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</si>
  <si>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</si>
  <si>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</si>
  <si>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</si>
  <si>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</si>
  <si>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</si>
  <si>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</si>
  <si>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</si>
  <si>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</si>
  <si>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</si>
  <si>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</si>
  <si>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</si>
  <si>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</si>
  <si>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</si>
  <si>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</si>
  <si>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</si>
  <si>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</si>
  <si>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</si>
  <si>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</si>
  <si>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</si>
  <si>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</si>
  <si>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</si>
  <si>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</si>
  <si>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</si>
  <si>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</si>
  <si>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</si>
  <si>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</si>
  <si>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</si>
  <si>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</si>
  <si>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</si>
  <si>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</si>
  <si>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</si>
  <si>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</si>
  <si>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</si>
  <si>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</si>
  <si>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</si>
  <si>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</si>
  <si>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</si>
  <si>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</si>
  <si>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</si>
  <si>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</si>
  <si>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</si>
  <si>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</si>
  <si>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</si>
  <si>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</si>
  <si>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</si>
  <si>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</si>
  <si>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</si>
  <si>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</si>
  <si>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</si>
  <si>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</si>
  <si>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</si>
  <si>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</si>
  <si>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</si>
  <si>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</si>
  <si>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</si>
  <si>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</si>
  <si>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</si>
  <si>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</si>
  <si>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</si>
  <si>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</si>
  <si>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</si>
  <si>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</si>
  <si>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</si>
  <si>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</si>
  <si>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</si>
  <si>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</si>
  <si>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</si>
  <si>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</si>
  <si>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</si>
  <si>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</si>
  <si>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</si>
  <si>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</si>
  <si>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</si>
  <si>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</si>
  <si>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</si>
  <si>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</si>
  <si>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</si>
  <si>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</si>
  <si>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</si>
  <si>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</si>
  <si>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</si>
  <si>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</si>
  <si>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</si>
  <si>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</si>
  <si>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</si>
  <si>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</si>
  <si>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</si>
  <si>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</si>
  <si>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</si>
  <si>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</si>
  <si>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</si>
  <si>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</si>
  <si>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</si>
  <si>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</si>
  <si>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</si>
  <si>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</si>
  <si>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</si>
  <si>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</si>
  <si>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</si>
  <si>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</si>
  <si>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</si>
  <si>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</si>
  <si>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</si>
  <si>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</si>
  <si>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</si>
  <si>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</si>
  <si>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</si>
  <si>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</si>
  <si>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</si>
  <si>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</si>
  <si>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</si>
  <si>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</si>
  <si>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</si>
  <si>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</si>
  <si>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</si>
  <si>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</si>
  <si>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</si>
  <si>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</si>
  <si>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</si>
  <si>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</si>
  <si>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</si>
  <si>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</si>
  <si>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</si>
  <si>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</si>
  <si>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</si>
  <si>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</si>
  <si>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</si>
  <si>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</si>
  <si>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</si>
  <si>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</si>
  <si>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</si>
  <si>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</si>
  <si>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</si>
  <si>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</si>
  <si>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</si>
  <si>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</si>
  <si>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</si>
  <si>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</si>
  <si>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</si>
  <si>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</si>
  <si>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</si>
  <si>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</si>
  <si>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</si>
  <si>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</si>
  <si>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</si>
  <si>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</si>
  <si>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</si>
  <si>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</si>
  <si>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</si>
  <si>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</si>
  <si>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</si>
  <si>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</si>
  <si>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</si>
  <si>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</si>
  <si>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</si>
  <si>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</si>
  <si>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</si>
  <si>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</si>
  <si>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</si>
  <si>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</si>
  <si>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</si>
  <si>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</si>
  <si>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</si>
  <si>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</si>
  <si>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</si>
  <si>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</si>
  <si>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</si>
  <si>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</si>
  <si>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</si>
  <si>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</si>
  <si>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</si>
  <si>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</si>
  <si>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</si>
  <si>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</si>
  <si>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</si>
  <si>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</si>
  <si>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</si>
  <si>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</si>
  <si>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</si>
  <si>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</si>
  <si>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</si>
  <si>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</si>
  <si>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</si>
  <si>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</si>
  <si>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</si>
  <si>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</si>
  <si>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</si>
  <si>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</si>
  <si>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</si>
  <si>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</si>
  <si>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</si>
  <si>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</si>
  <si>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</si>
  <si>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</si>
  <si>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</si>
  <si>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</si>
  <si>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</si>
  <si>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</si>
  <si>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</si>
  <si>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</si>
  <si>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</si>
  <si>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</si>
  <si>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</si>
  <si>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</si>
  <si>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</si>
  <si>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</si>
  <si>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</si>
  <si>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</si>
  <si>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</si>
  <si>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</si>
  <si>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</si>
  <si>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</si>
  <si>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</si>
  <si>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</si>
  <si>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</si>
  <si>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</si>
  <si>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</si>
  <si>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</si>
  <si>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</si>
  <si>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</si>
  <si>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</si>
  <si>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</si>
  <si>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</si>
  <si>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</si>
  <si>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</si>
  <si>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</si>
  <si>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</si>
  <si>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</si>
  <si>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</si>
  <si>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</si>
  <si>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</si>
  <si>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</si>
  <si>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</si>
  <si>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</si>
  <si>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</si>
  <si>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</si>
  <si>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</si>
  <si>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</si>
  <si>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</si>
  <si>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</si>
  <si>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</si>
  <si>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</si>
  <si>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</si>
  <si>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</si>
  <si>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</si>
  <si>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</si>
  <si>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</si>
  <si>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</si>
  <si>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</si>
  <si>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</si>
  <si>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</si>
  <si>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</si>
  <si>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</si>
  <si>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</si>
  <si>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</si>
  <si>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</si>
  <si>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</si>
  <si>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</si>
  <si>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</si>
  <si>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</si>
  <si>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</si>
  <si>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</si>
  <si>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</si>
  <si>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</si>
  <si>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</si>
  <si>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</si>
  <si>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</si>
  <si>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</si>
  <si>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</si>
  <si>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</si>
  <si>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</si>
  <si>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</si>
  <si>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</si>
  <si>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</si>
  <si>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</si>
  <si>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</si>
  <si>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</si>
  <si>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</si>
  <si>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</si>
  <si>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</si>
  <si>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</si>
  <si>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</si>
  <si>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</si>
  <si>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</si>
  <si>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</si>
  <si>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</si>
  <si>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</si>
  <si>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</si>
  <si>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</si>
  <si>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</si>
  <si>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</si>
  <si>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</si>
  <si>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</si>
  <si>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</si>
  <si>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</si>
  <si>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</si>
  <si>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</si>
  <si>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</si>
  <si>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</si>
  <si>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</si>
  <si>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</si>
  <si>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</si>
  <si>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</si>
  <si>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</si>
  <si>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</si>
  <si>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</si>
  <si>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</si>
  <si>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</si>
  <si>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</si>
  <si>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</si>
  <si>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</si>
  <si>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</si>
  <si>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</si>
  <si>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</si>
  <si>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</si>
  <si>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</si>
  <si>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</si>
  <si>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</si>
  <si>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</si>
  <si>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</si>
  <si>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</si>
  <si>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</si>
  <si>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</si>
  <si>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</si>
  <si>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</si>
  <si>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</si>
  <si>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</si>
  <si>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</si>
  <si>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</si>
  <si>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</si>
  <si>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</si>
  <si>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</si>
  <si>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</si>
  <si>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</si>
  <si>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</si>
  <si>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</si>
  <si>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</si>
  <si>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</si>
  <si>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</si>
  <si>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</si>
  <si>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</si>
  <si>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</si>
  <si>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</si>
  <si>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</si>
  <si>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</si>
  <si>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</si>
  <si>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</si>
  <si>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</si>
  <si>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</si>
  <si>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</si>
  <si>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</si>
  <si>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</si>
  <si>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</si>
  <si>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</si>
  <si>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</si>
  <si>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</si>
  <si>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</si>
  <si>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</si>
  <si>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</si>
  <si>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</si>
  <si>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</si>
  <si>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</si>
  <si>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</si>
  <si>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</si>
  <si>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</si>
  <si>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</si>
  <si>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</si>
  <si>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</si>
  <si>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</si>
  <si>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</si>
  <si>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</si>
  <si>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</si>
  <si>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</si>
  <si>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</si>
  <si>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</si>
  <si>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</si>
  <si>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</si>
  <si>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</si>
  <si>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</si>
  <si>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</si>
  <si>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</si>
  <si>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</si>
  <si>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</si>
  <si>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</si>
  <si>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</si>
  <si>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</si>
  <si>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</si>
  <si>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</si>
  <si>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</si>
  <si>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</si>
  <si>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</si>
  <si>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</si>
  <si>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</si>
  <si>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</si>
  <si>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</si>
  <si>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</si>
  <si>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</si>
  <si>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</si>
  <si>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</si>
  <si>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</si>
  <si>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</si>
  <si>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</si>
  <si>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</si>
  <si>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</si>
  <si>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</si>
  <si>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</si>
  <si>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</si>
  <si>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</si>
  <si>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</si>
  <si>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</si>
  <si>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</si>
  <si>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</si>
  <si>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</si>
  <si>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</si>
  <si>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</si>
  <si>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</si>
  <si>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</si>
  <si>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</si>
  <si>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</si>
  <si>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</si>
  <si>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</si>
  <si>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</si>
  <si>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</si>
  <si>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</si>
  <si>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</si>
  <si>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</si>
  <si>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</si>
  <si>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</si>
  <si>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</si>
  <si>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</si>
  <si>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</si>
  <si>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</si>
  <si>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</si>
  <si>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</si>
  <si>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</si>
  <si>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</si>
  <si>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</si>
  <si>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</si>
  <si>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</si>
  <si>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</si>
  <si>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</si>
  <si>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</si>
  <si>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</si>
  <si>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</si>
  <si>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</si>
  <si>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</si>
  <si>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</si>
  <si>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</si>
  <si>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</si>
  <si>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</si>
  <si>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</si>
  <si>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</si>
  <si>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</si>
  <si>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</si>
  <si>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</si>
  <si>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</si>
  <si>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</si>
  <si>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</si>
  <si>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</si>
  <si>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</si>
  <si>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</si>
  <si>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</si>
  <si>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</si>
  <si>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</si>
  <si>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</si>
  <si>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</si>
  <si>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</si>
  <si>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</si>
  <si>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</si>
  <si>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</si>
  <si>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</si>
  <si>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</si>
  <si>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</si>
  <si>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</si>
  <si>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</si>
  <si>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</si>
  <si>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</si>
  <si>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</si>
  <si>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</si>
  <si>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</si>
  <si>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</si>
  <si>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</si>
  <si>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</si>
  <si>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</si>
  <si>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</si>
  <si>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</si>
  <si>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</si>
  <si>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</si>
  <si>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</si>
  <si>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</si>
  <si>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</si>
  <si>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</si>
  <si>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</si>
  <si>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</si>
  <si>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</si>
  <si>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</si>
  <si>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</si>
  <si>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</si>
  <si>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</si>
  <si>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</si>
  <si>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</si>
  <si>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</si>
  <si>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</si>
  <si>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</si>
  <si>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</si>
  <si>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</si>
  <si>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</si>
  <si>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</si>
  <si>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</si>
  <si>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</si>
  <si>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</si>
  <si>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</si>
  <si>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</si>
  <si>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</si>
  <si>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</si>
  <si>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</si>
  <si>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</si>
  <si>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</si>
  <si>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</si>
  <si>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</si>
  <si>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</si>
  <si>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</si>
  <si>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</si>
  <si>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</si>
  <si>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</si>
  <si>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</si>
  <si>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</si>
  <si>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</si>
  <si>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</si>
  <si>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</si>
  <si>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</si>
  <si>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</si>
  <si>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</si>
  <si>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</si>
  <si>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</si>
  <si>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</si>
  <si>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</si>
  <si>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</si>
  <si>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</si>
  <si>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</si>
  <si>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</si>
  <si>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</si>
  <si>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</si>
  <si>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</si>
  <si>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</si>
  <si>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</si>
  <si>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</si>
  <si>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</si>
  <si>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</si>
  <si>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</si>
  <si>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</si>
  <si>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</si>
  <si>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</si>
  <si>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</si>
  <si>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</si>
  <si>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</si>
  <si>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</si>
  <si>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</si>
  <si>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</si>
  <si>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</si>
  <si>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</si>
  <si>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</si>
  <si>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</si>
  <si>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</si>
  <si>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</si>
  <si>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</si>
  <si>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</si>
  <si>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</si>
  <si>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</si>
  <si>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</si>
  <si>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</si>
  <si>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</si>
  <si>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</si>
  <si>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</si>
  <si>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</si>
  <si>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</si>
  <si>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</si>
  <si>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</si>
  <si>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</si>
  <si>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</si>
  <si>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</si>
  <si>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</si>
  <si>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</si>
  <si>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</si>
  <si>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</si>
  <si>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</si>
  <si>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</si>
  <si>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</si>
  <si>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</si>
  <si>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</si>
  <si>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</si>
  <si>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</si>
  <si>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</si>
  <si>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</si>
  <si>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</si>
  <si>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</si>
  <si>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</si>
  <si>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</si>
  <si>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</si>
  <si>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</si>
  <si>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</si>
  <si>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</si>
  <si>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</si>
  <si>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</si>
  <si>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</si>
  <si>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</si>
  <si>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</si>
  <si>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</si>
  <si>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</si>
  <si>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</si>
  <si>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</si>
  <si>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</si>
  <si>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</si>
  <si>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</si>
  <si>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</si>
  <si>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</si>
  <si>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</si>
  <si>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</si>
  <si>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</si>
  <si>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</si>
  <si>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</si>
  <si>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</si>
  <si>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</si>
  <si>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</si>
  <si>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</si>
  <si>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</si>
  <si>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</si>
  <si>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</si>
  <si>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</si>
  <si>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</si>
  <si>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</si>
  <si>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</si>
  <si>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</si>
  <si>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</si>
  <si>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</si>
  <si>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</si>
  <si>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</si>
  <si>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</si>
  <si>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</si>
  <si>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</si>
  <si>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</si>
  <si>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</si>
  <si>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</si>
  <si>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</si>
  <si>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</si>
  <si>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</si>
  <si>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</si>
  <si>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</si>
  <si>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</si>
  <si>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</si>
  <si>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</si>
  <si>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</si>
  <si>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</si>
  <si>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</si>
  <si>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</si>
  <si>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</si>
  <si>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</si>
  <si>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</si>
  <si>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</si>
  <si>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</si>
  <si>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</si>
  <si>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</si>
  <si>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</si>
  <si>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</si>
  <si>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</si>
  <si>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</si>
  <si>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</si>
  <si>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</si>
  <si>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</si>
  <si>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</si>
  <si>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</si>
  <si>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</si>
  <si>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</si>
  <si>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</si>
  <si>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</si>
  <si>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</si>
  <si>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</si>
  <si>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</si>
  <si>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</si>
  <si>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</si>
  <si>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</si>
  <si>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</si>
  <si>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</si>
  <si>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</si>
  <si>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</si>
  <si>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</si>
  <si>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</si>
  <si>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</si>
  <si>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</si>
  <si>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</si>
  <si>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</si>
  <si>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</si>
  <si>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</si>
  <si>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</si>
  <si>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</si>
  <si>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</si>
  <si>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</si>
  <si>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</si>
  <si>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</si>
  <si>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</si>
  <si>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</si>
  <si>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</si>
  <si>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</si>
  <si>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</si>
  <si>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</si>
  <si>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</si>
  <si>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</si>
  <si>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</si>
  <si>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</si>
  <si>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</si>
  <si>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</si>
  <si>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</si>
  <si>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</si>
  <si>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</si>
  <si>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</si>
  <si>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</si>
  <si>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</si>
  <si>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</si>
  <si>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</si>
  <si>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</si>
  <si>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</si>
  <si>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</si>
  <si>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</si>
  <si>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</si>
  <si>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</si>
  <si>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</si>
  <si>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</si>
  <si>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</si>
  <si>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</si>
  <si>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</si>
  <si>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</si>
  <si>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</si>
  <si>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</si>
  <si>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</si>
  <si>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</si>
  <si>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</si>
  <si>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</si>
  <si>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</si>
  <si>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</si>
  <si>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</si>
  <si>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</si>
  <si>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</si>
  <si>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</si>
  <si>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</si>
  <si>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</si>
  <si>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</si>
  <si>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</si>
  <si>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</si>
  <si>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</si>
  <si>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</si>
  <si>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</si>
  <si>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</si>
  <si>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</si>
  <si>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</si>
  <si>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</si>
  <si>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</si>
  <si>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</si>
  <si>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</si>
  <si>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</si>
  <si>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</si>
  <si>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</si>
  <si>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</si>
  <si>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</si>
  <si>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</si>
  <si>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</si>
  <si>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</si>
  <si>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</si>
  <si>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</si>
  <si>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</si>
  <si>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</si>
  <si>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</si>
  <si>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</si>
  <si>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</si>
  <si>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</si>
  <si>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</si>
  <si>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</si>
  <si>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</si>
  <si>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</si>
  <si>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</si>
  <si>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</si>
  <si>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</si>
  <si>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</si>
  <si>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</si>
  <si>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</si>
  <si>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</si>
  <si>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</si>
  <si>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</si>
  <si>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</si>
  <si>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</si>
  <si>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</si>
  <si>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</si>
  <si>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</si>
  <si>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</si>
  <si>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</si>
  <si>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</si>
  <si>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</si>
  <si>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</si>
  <si>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</si>
  <si>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</si>
  <si>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</si>
  <si>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</si>
  <si>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</si>
  <si>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</si>
  <si>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</si>
  <si>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</si>
  <si>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</si>
  <si>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</si>
  <si>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</si>
  <si>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</si>
  <si>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</si>
  <si>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</si>
  <si>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</si>
  <si>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</si>
  <si>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</si>
  <si>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</si>
  <si>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</si>
  <si>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</si>
  <si>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</si>
  <si>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</si>
  <si>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</si>
  <si>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</si>
  <si>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</si>
  <si>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</si>
  <si>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</si>
  <si>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</si>
  <si>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</si>
  <si>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</si>
  <si>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</si>
  <si>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</si>
  <si>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</si>
  <si>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</si>
  <si>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</si>
  <si>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</si>
  <si>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</si>
  <si>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</si>
  <si>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</si>
  <si>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</si>
  <si>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</si>
  <si>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</si>
  <si>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</si>
  <si>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</si>
  <si>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</si>
  <si>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</si>
  <si>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</si>
  <si>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</si>
  <si>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</si>
  <si>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</si>
  <si>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</si>
  <si>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</si>
  <si>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</si>
  <si>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</si>
  <si>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</si>
  <si>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</si>
  <si>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</si>
  <si>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</si>
  <si>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</si>
  <si>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</si>
  <si>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</si>
  <si>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</si>
  <si>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</si>
  <si>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</si>
  <si>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</si>
  <si>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</si>
  <si>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</si>
  <si>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</si>
  <si>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</si>
  <si>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</si>
  <si>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</si>
  <si>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</si>
  <si>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</si>
  <si>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</si>
  <si>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</si>
  <si>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</si>
  <si>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</si>
  <si>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</si>
  <si>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</si>
  <si>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</si>
  <si>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</si>
  <si>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</si>
  <si>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</si>
  <si>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</si>
  <si>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</si>
  <si>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</si>
  <si>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</si>
  <si>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</si>
  <si>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</si>
  <si>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</si>
  <si>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</si>
  <si>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</si>
  <si>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</si>
  <si>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</si>
  <si>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</si>
  <si>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</si>
  <si>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</si>
  <si>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</si>
  <si>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</si>
  <si>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</si>
  <si>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</si>
  <si>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</si>
  <si>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</si>
  <si>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</si>
  <si>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</si>
  <si>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</si>
  <si>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</si>
  <si>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</si>
  <si>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</si>
  <si>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</si>
  <si>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</si>
  <si>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</si>
  <si>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</si>
  <si>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</si>
  <si>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</si>
  <si>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</si>
  <si>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</si>
  <si>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</si>
  <si>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</si>
  <si>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</si>
  <si>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</si>
  <si>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</si>
  <si>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</si>
  <si>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</si>
  <si>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</si>
  <si>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</si>
  <si>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</si>
  <si>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</si>
  <si>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</si>
  <si>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</si>
  <si>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</si>
  <si>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</si>
  <si>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</si>
  <si>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</si>
  <si>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</si>
  <si>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</si>
  <si>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</si>
  <si>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</si>
  <si>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</si>
  <si>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</si>
  <si>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</si>
  <si>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</si>
  <si>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</si>
  <si>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</si>
  <si>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</si>
  <si>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</si>
  <si>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</si>
  <si>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</si>
  <si>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</si>
  <si>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</si>
  <si>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</si>
  <si>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</si>
  <si>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</si>
  <si>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</si>
  <si>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</si>
  <si>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</si>
  <si>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</si>
  <si>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</si>
  <si>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</si>
  <si>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</si>
  <si>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</si>
  <si>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</si>
  <si>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</si>
  <si>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</si>
  <si>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</si>
  <si>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</si>
  <si>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</si>
  <si>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</si>
  <si>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</si>
  <si>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</si>
  <si>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</si>
  <si>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</si>
  <si>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</si>
  <si>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</si>
  <si>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</si>
  <si>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</si>
  <si>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</si>
  <si>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</si>
  <si>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</si>
  <si>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</si>
  <si>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</si>
  <si>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</si>
  <si>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</si>
  <si>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</si>
  <si>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</si>
  <si>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</si>
  <si>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</si>
  <si>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</si>
  <si>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</si>
  <si>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</si>
  <si>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</si>
  <si>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</si>
  <si>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</si>
  <si>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</si>
  <si>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</si>
  <si>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</si>
  <si>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</si>
  <si>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</si>
  <si>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</si>
  <si>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</si>
  <si>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</si>
  <si>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</si>
  <si>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</si>
  <si>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</si>
  <si>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</si>
  <si>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</si>
  <si>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</si>
  <si>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</si>
  <si>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</si>
  <si>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</si>
  <si>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</si>
  <si>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</si>
  <si>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</si>
  <si>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</si>
  <si>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</si>
  <si>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</si>
  <si>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</si>
  <si>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</si>
  <si>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</si>
  <si>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</si>
  <si>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</si>
  <si>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</si>
  <si>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</si>
  <si>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</si>
  <si>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</si>
  <si>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</si>
  <si>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</si>
  <si>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</si>
  <si>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</si>
  <si>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</si>
  <si>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</si>
  <si>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</si>
  <si>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</si>
  <si>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</si>
  <si>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</si>
  <si>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</si>
  <si>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</si>
  <si>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</si>
  <si>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</si>
  <si>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</si>
  <si>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</si>
  <si>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</si>
  <si>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</si>
  <si>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</si>
  <si>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</si>
  <si>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</si>
  <si>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</si>
  <si>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</si>
  <si>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</si>
  <si>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</si>
  <si>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</si>
  <si>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</si>
  <si>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</si>
  <si>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</si>
  <si>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</si>
  <si>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</si>
  <si>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</si>
  <si>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</si>
  <si>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</si>
  <si>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</si>
  <si>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</si>
  <si>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</si>
  <si>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</si>
  <si>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</si>
  <si>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</si>
  <si>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</si>
  <si>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</si>
  <si>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</si>
  <si>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</si>
  <si>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</si>
  <si>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</si>
  <si>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</si>
  <si>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</si>
  <si>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</si>
  <si>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</si>
  <si>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</si>
  <si>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</si>
  <si>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</si>
  <si>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</si>
  <si>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</si>
  <si>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</si>
  <si>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</si>
  <si>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</si>
  <si>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</si>
  <si>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</si>
  <si>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</si>
  <si>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</si>
  <si>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</si>
  <si>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</si>
  <si>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</si>
  <si>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</si>
  <si>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</si>
  <si>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</si>
  <si>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</si>
  <si>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</si>
  <si>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</si>
  <si>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</si>
  <si>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</si>
  <si>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</si>
  <si>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</si>
  <si>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</si>
  <si>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</si>
  <si>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</si>
  <si>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</si>
  <si>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</si>
  <si>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</si>
  <si>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</si>
  <si>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</si>
  <si>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</si>
  <si>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</si>
  <si>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</si>
  <si>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</si>
  <si>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</si>
  <si>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</si>
  <si>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</si>
  <si>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</si>
  <si>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</si>
  <si>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</si>
  <si>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</si>
  <si>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</si>
  <si>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</si>
  <si>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</si>
  <si>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</si>
  <si>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</si>
  <si>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</si>
  <si>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</si>
  <si>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</si>
  <si>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</si>
  <si>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</si>
  <si>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</si>
  <si>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</si>
  <si>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</si>
  <si>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</si>
  <si>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</si>
  <si>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</si>
  <si>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</si>
  <si>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</si>
  <si>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</si>
  <si>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</si>
  <si>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</si>
  <si>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</si>
  <si>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</si>
  <si>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</si>
  <si>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</si>
  <si>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</si>
  <si>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</si>
  <si>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</si>
  <si>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</si>
  <si>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</si>
  <si>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</si>
  <si>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</si>
  <si>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</si>
  <si>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</si>
  <si>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</si>
  <si>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</si>
  <si>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</si>
  <si>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</si>
  <si>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</si>
  <si>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</si>
  <si>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</si>
  <si>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</si>
  <si>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</si>
  <si>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</si>
  <si>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</si>
  <si>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</si>
  <si>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</si>
  <si>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</si>
  <si>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</si>
  <si>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</si>
  <si>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</si>
  <si>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</si>
  <si>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</si>
  <si>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</si>
  <si>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</si>
  <si>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</si>
  <si>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</si>
  <si>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</si>
  <si>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</si>
  <si>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</si>
  <si>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</si>
  <si>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</si>
  <si>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</si>
  <si>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</si>
  <si>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</si>
  <si>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</si>
  <si>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</si>
  <si>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</si>
  <si>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</si>
  <si>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</si>
  <si>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</si>
  <si>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</si>
  <si>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</si>
  <si>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</si>
  <si>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</si>
  <si>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</si>
  <si>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</si>
  <si>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</si>
  <si>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</si>
  <si>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</si>
  <si>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</si>
  <si>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</si>
  <si>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</si>
  <si>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</si>
  <si>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</si>
  <si>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</si>
  <si>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</si>
  <si>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</si>
  <si>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</si>
  <si>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</si>
  <si>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</si>
  <si>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</si>
  <si>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</si>
  <si>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</si>
  <si>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</si>
  <si>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</si>
  <si>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</si>
  <si>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</si>
  <si>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</si>
  <si>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</si>
  <si>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</si>
  <si>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</si>
  <si>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</si>
  <si>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</si>
  <si>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</si>
  <si>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</si>
  <si>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</si>
  <si>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</si>
  <si>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</si>
  <si>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</si>
  <si>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</si>
  <si>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</si>
  <si>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</si>
  <si>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</si>
  <si>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</si>
  <si>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</si>
  <si>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</si>
  <si>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</si>
  <si>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</si>
  <si>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</si>
  <si>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</si>
  <si>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</si>
  <si>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</si>
  <si>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</si>
  <si>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</si>
  <si>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</si>
  <si>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</si>
  <si>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</si>
  <si>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</si>
  <si>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</si>
  <si>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</si>
  <si>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</si>
  <si>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</si>
  <si>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</si>
  <si>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</si>
  <si>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</si>
  <si>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</si>
  <si>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</si>
  <si>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</si>
  <si>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</si>
  <si>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</si>
  <si>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</si>
  <si>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</si>
  <si>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</si>
  <si>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</si>
  <si>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</si>
  <si>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</si>
  <si>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</si>
  <si>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</si>
  <si>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</si>
  <si>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</si>
  <si>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</si>
  <si>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</si>
  <si>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</si>
  <si>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</si>
  <si>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</si>
  <si>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</si>
  <si>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</si>
  <si>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</si>
  <si>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</si>
  <si>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</si>
  <si>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</si>
  <si>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</si>
  <si>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</si>
  <si>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</si>
  <si>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</si>
  <si>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</si>
  <si>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</si>
  <si>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</si>
  <si>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</si>
  <si>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</si>
  <si>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</si>
  <si>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</si>
  <si>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</si>
  <si>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</si>
  <si>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</si>
  <si>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</si>
  <si>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</si>
  <si>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</si>
  <si>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</si>
  <si>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</si>
  <si>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</si>
  <si>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</si>
  <si>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</si>
  <si>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</si>
  <si>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</si>
  <si>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</si>
  <si>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</si>
  <si>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</si>
  <si>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</si>
  <si>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</si>
  <si>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</si>
  <si>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</si>
  <si>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</si>
  <si>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</si>
  <si>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</si>
  <si>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</si>
  <si>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</si>
  <si>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</si>
  <si>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</si>
  <si>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</si>
  <si>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</si>
  <si>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</si>
  <si>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</si>
  <si>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</si>
  <si>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</si>
  <si>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</si>
  <si>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</si>
  <si>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</si>
  <si>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</si>
  <si>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</si>
  <si>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</si>
  <si>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</si>
  <si>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</si>
  <si>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</si>
  <si>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</si>
  <si>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</si>
  <si>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</si>
  <si>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</si>
  <si>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</si>
  <si>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</si>
  <si>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</si>
  <si>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</si>
  <si>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</si>
  <si>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</si>
  <si>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</si>
  <si>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</si>
  <si>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</si>
  <si>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</si>
  <si>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</si>
  <si>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</si>
  <si>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</si>
  <si>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</si>
  <si>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</si>
  <si>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</si>
  <si>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</si>
  <si>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</si>
  <si>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</si>
  <si>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</si>
  <si>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</si>
  <si>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</si>
  <si>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</si>
  <si>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</si>
  <si>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</si>
  <si>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</si>
  <si>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</si>
  <si>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</si>
  <si>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</si>
  <si>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</si>
  <si>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</si>
  <si>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</si>
  <si>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</si>
  <si>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</si>
  <si>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</si>
  <si>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</si>
  <si>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</si>
  <si>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</si>
  <si>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</si>
  <si>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</si>
  <si>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</si>
  <si>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</si>
  <si>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</si>
  <si>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</si>
  <si>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</si>
  <si>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</si>
  <si>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</si>
  <si>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</si>
  <si>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</si>
  <si>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</si>
  <si>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</si>
  <si>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</si>
  <si>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</si>
  <si>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</si>
  <si>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</si>
  <si>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</si>
  <si>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</si>
  <si>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</si>
  <si>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</si>
  <si>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</si>
  <si>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</si>
  <si>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</si>
  <si>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</si>
  <si>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</si>
  <si>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</si>
  <si>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</si>
  <si>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</si>
  <si>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</si>
  <si>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</si>
  <si>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</si>
  <si>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</si>
  <si>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</si>
  <si>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</si>
  <si>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</si>
  <si>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</si>
  <si>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</si>
  <si>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</si>
  <si>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</si>
  <si>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</si>
  <si>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</si>
  <si>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</si>
  <si>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</si>
  <si>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</si>
  <si>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</si>
  <si>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</si>
  <si>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</si>
  <si>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</si>
  <si>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</si>
  <si>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</si>
  <si>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</si>
  <si>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</si>
  <si>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</si>
  <si>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</si>
  <si>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</si>
  <si>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</si>
  <si>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</si>
  <si>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</si>
  <si>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</si>
  <si>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</si>
  <si>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</si>
  <si>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</si>
  <si>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</si>
  <si>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</si>
  <si>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</si>
  <si>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</si>
  <si>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</si>
  <si>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</si>
  <si>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</si>
  <si>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</si>
  <si>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</si>
  <si>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</si>
  <si>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</si>
  <si>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</si>
  <si>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</si>
  <si>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</si>
  <si>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</si>
  <si>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</si>
  <si>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</si>
  <si>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</si>
  <si>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</si>
  <si>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</si>
  <si>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</si>
  <si>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</si>
  <si>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</si>
  <si>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</si>
  <si>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</si>
  <si>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</si>
  <si>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</si>
  <si>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</si>
  <si>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</si>
  <si>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</si>
  <si>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</si>
  <si>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</si>
  <si>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</si>
  <si>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</si>
  <si>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</si>
  <si>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</si>
  <si>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</si>
  <si>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</si>
  <si>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</si>
  <si>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</si>
  <si>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</si>
  <si>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</si>
  <si>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</si>
  <si>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</si>
  <si>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</si>
  <si>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</si>
  <si>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</si>
  <si>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</si>
  <si>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</si>
  <si>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</si>
  <si>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</si>
  <si>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</si>
  <si>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</si>
  <si>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</si>
  <si>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</si>
  <si>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</si>
  <si>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</si>
  <si>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</si>
  <si>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</si>
  <si>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</si>
  <si>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</si>
  <si>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</si>
  <si>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</si>
  <si>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</si>
  <si>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</si>
  <si>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</si>
  <si>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</si>
  <si>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</si>
  <si>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</si>
  <si>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</si>
  <si>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</si>
  <si>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</si>
  <si>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</si>
  <si>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</si>
  <si>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</si>
  <si>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</si>
  <si>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</si>
  <si>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</si>
  <si>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</si>
  <si>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</si>
  <si>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</si>
  <si>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</si>
  <si>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</si>
  <si>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</si>
  <si>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</si>
  <si>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</si>
  <si>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</si>
  <si>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</si>
  <si>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</si>
  <si>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</si>
  <si>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</si>
  <si>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</si>
  <si>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</si>
  <si>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</si>
  <si>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</si>
  <si>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</si>
  <si>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</si>
  <si>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</si>
  <si>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</si>
  <si>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</si>
  <si>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</si>
  <si>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</si>
  <si>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</si>
  <si>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</si>
  <si>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</si>
  <si>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</si>
  <si>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</si>
  <si>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</si>
  <si>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</si>
  <si>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</si>
  <si>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</si>
  <si>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</si>
  <si>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</si>
  <si>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</si>
  <si>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</si>
  <si>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</si>
  <si>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</si>
  <si>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</si>
  <si>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</si>
  <si>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</si>
  <si>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</si>
  <si>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</si>
  <si>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</si>
  <si>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</si>
  <si>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</si>
  <si>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</si>
  <si>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</si>
  <si>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</si>
  <si>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</si>
  <si>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</si>
  <si>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</si>
  <si>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</si>
  <si>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</si>
  <si>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</si>
  <si>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</si>
  <si>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</si>
  <si>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</si>
  <si>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</si>
  <si>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</si>
  <si>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</si>
  <si>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</si>
  <si>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</si>
  <si>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</si>
  <si>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</si>
  <si>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</si>
  <si>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</si>
  <si>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</si>
  <si>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</si>
  <si>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</si>
  <si>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</si>
  <si>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</si>
  <si>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</si>
  <si>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</si>
  <si>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</si>
  <si>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</si>
  <si>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</si>
  <si>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</si>
  <si>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</si>
  <si>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</si>
  <si>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</si>
  <si>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</si>
  <si>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</si>
  <si>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</si>
  <si>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</si>
  <si>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</si>
  <si>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</si>
  <si>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</si>
  <si>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</si>
  <si>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</si>
  <si>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</si>
  <si>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</si>
  <si>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</si>
  <si>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</si>
  <si>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</si>
  <si>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</si>
  <si>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</si>
  <si>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</si>
  <si>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</si>
  <si>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</si>
  <si>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</si>
  <si>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</si>
  <si>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</si>
  <si>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</si>
  <si>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</si>
  <si>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</si>
  <si>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</si>
  <si>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</si>
  <si>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</si>
  <si>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</si>
  <si>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</si>
  <si>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</si>
  <si>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</si>
  <si>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</si>
  <si>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</si>
  <si>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</si>
  <si>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</si>
  <si>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</si>
  <si>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</si>
  <si>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</si>
  <si>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</si>
  <si>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</si>
  <si>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</si>
  <si>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</si>
  <si>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</si>
  <si>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</si>
  <si>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</si>
  <si>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</si>
  <si>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</si>
  <si>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</si>
  <si>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</si>
  <si>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</si>
  <si>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</si>
  <si>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</si>
  <si>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</si>
  <si>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</si>
  <si>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</si>
  <si>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</si>
  <si>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</si>
  <si>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</si>
  <si>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</si>
  <si>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</si>
  <si>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</si>
  <si>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</si>
  <si>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</si>
  <si>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</si>
  <si>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</si>
  <si>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</si>
  <si>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</si>
  <si>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</si>
  <si>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</si>
  <si>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</si>
  <si>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</si>
  <si>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</si>
  <si>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</si>
  <si>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</si>
  <si>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</si>
  <si>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</si>
  <si>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</si>
  <si>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</si>
  <si>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</si>
  <si>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</si>
  <si>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</si>
  <si>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</si>
  <si>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</si>
  <si>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</si>
  <si>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</si>
  <si>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</si>
  <si>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</si>
  <si>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</si>
  <si>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</si>
  <si>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</si>
  <si>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</si>
  <si>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</si>
  <si>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</si>
  <si>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</si>
  <si>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</si>
  <si>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</si>
  <si>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</si>
  <si>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</si>
  <si>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</si>
  <si>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</si>
  <si>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</si>
  <si>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</si>
  <si>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</si>
  <si>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</si>
  <si>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</si>
  <si>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</si>
  <si>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</si>
  <si>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</si>
  <si>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</si>
  <si>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</si>
  <si>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</si>
  <si>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</si>
  <si>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</si>
  <si>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</si>
  <si>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</si>
  <si>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</si>
  <si>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</si>
  <si>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</si>
  <si>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</si>
  <si>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</si>
  <si>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</si>
  <si>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</si>
  <si>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</si>
  <si>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</si>
  <si>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</si>
  <si>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</si>
  <si>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</si>
  <si>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</si>
  <si>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</si>
  <si>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</si>
  <si>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</si>
  <si>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</si>
  <si>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</si>
  <si>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</si>
  <si>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</si>
  <si>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</si>
  <si>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</si>
  <si>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</si>
  <si>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</si>
  <si>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</si>
  <si>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</si>
  <si>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</si>
  <si>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</si>
  <si>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</si>
  <si>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</si>
  <si>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</si>
  <si>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</si>
  <si>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</si>
  <si>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</si>
  <si>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</si>
  <si>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</si>
  <si>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</si>
  <si>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</si>
  <si>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</si>
  <si>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</si>
  <si>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</si>
  <si>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</si>
  <si>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</si>
  <si>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</si>
  <si>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</si>
  <si>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</si>
  <si>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</si>
  <si>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</si>
  <si>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</si>
  <si>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</si>
  <si>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</si>
  <si>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</si>
  <si>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</si>
  <si>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</si>
  <si>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</si>
  <si>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</si>
  <si>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</si>
  <si>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</si>
  <si>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</si>
  <si>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</si>
  <si>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</si>
  <si>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</si>
  <si>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</si>
  <si>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</si>
  <si>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</si>
  <si>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</si>
  <si>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</si>
  <si>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</si>
  <si>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</si>
  <si>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</si>
  <si>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</si>
  <si>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</si>
  <si>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</si>
  <si>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</si>
  <si>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</si>
  <si>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</si>
  <si>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</si>
  <si>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</si>
  <si>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</si>
  <si>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</si>
  <si>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</si>
  <si>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</si>
  <si>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</si>
  <si>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</si>
  <si>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</si>
  <si>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</si>
  <si>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</si>
  <si>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</si>
  <si>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</si>
  <si>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</si>
  <si>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</si>
  <si>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</si>
  <si>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</si>
  <si>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</si>
  <si>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</si>
  <si>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</si>
  <si>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</si>
  <si>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</si>
  <si>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</si>
  <si>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</si>
  <si>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</si>
  <si>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</si>
  <si>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</si>
  <si>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</si>
  <si>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</si>
  <si>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</si>
  <si>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</si>
  <si>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</si>
  <si>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</si>
  <si>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</si>
  <si>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</si>
  <si>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</si>
  <si>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</si>
  <si>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</si>
  <si>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</si>
  <si>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</si>
  <si>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</si>
  <si>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</si>
  <si>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</si>
  <si>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</si>
  <si>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</si>
  <si>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</si>
  <si>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</si>
  <si>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</si>
  <si>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</si>
  <si>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</si>
  <si>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</si>
  <si>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</si>
  <si>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</si>
  <si>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</si>
  <si>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</si>
  <si>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</si>
  <si>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</si>
  <si>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</si>
  <si>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</si>
  <si>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</si>
  <si>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</si>
  <si>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</si>
  <si>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</si>
  <si>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</si>
  <si>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</si>
  <si>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</si>
  <si>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</si>
  <si>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</si>
  <si>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</si>
  <si>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</si>
  <si>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</si>
  <si>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</si>
  <si>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</si>
  <si>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</si>
  <si>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</si>
  <si>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</si>
  <si>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</si>
  <si>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</si>
  <si>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</si>
  <si>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</si>
  <si>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</si>
  <si>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</si>
  <si>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</si>
  <si>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</si>
  <si>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</si>
  <si>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</si>
  <si>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</si>
  <si>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</si>
  <si>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</si>
  <si>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</si>
  <si>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</si>
  <si>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</si>
  <si>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</si>
  <si>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</si>
  <si>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</si>
  <si>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</si>
  <si>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</si>
  <si>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</si>
  <si>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</si>
  <si>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</si>
  <si>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</si>
  <si>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</si>
  <si>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</si>
  <si>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</si>
  <si>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</si>
  <si>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</si>
  <si>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</si>
  <si>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</si>
  <si>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</si>
  <si>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</si>
  <si>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</si>
  <si>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</si>
  <si>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</si>
  <si>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</si>
  <si>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</si>
  <si>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</si>
  <si>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</si>
  <si>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</si>
  <si>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</si>
  <si>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</si>
  <si>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</si>
  <si>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</si>
  <si>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</si>
  <si>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</si>
  <si>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</si>
  <si>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</si>
  <si>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</si>
  <si>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</si>
  <si>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</si>
  <si>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</si>
  <si>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</si>
  <si>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</si>
  <si>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</si>
  <si>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</si>
  <si>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</si>
  <si>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</si>
  <si>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</si>
  <si>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</si>
  <si>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</si>
  <si>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</si>
  <si>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</si>
  <si>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</si>
  <si>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</si>
  <si>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</si>
  <si>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</si>
  <si>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</si>
  <si>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</si>
  <si>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</si>
  <si>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</si>
  <si>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</si>
  <si>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</si>
  <si>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</si>
  <si>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</si>
  <si>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</si>
  <si>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</si>
  <si>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</si>
  <si>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</si>
  <si>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</si>
  <si>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</si>
  <si>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</si>
  <si>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</si>
  <si>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</si>
  <si>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</si>
  <si>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</si>
  <si>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</si>
  <si>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</si>
  <si>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</si>
  <si>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</si>
  <si>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</si>
  <si>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</si>
  <si>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</si>
  <si>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</si>
  <si>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</si>
  <si>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</si>
  <si>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</si>
  <si>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</si>
  <si>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</si>
  <si>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</si>
  <si>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</si>
  <si>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</si>
  <si>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</si>
  <si>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</si>
  <si>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</si>
  <si>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</si>
  <si>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</si>
  <si>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</si>
  <si>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</si>
  <si>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</si>
  <si>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</si>
  <si>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</si>
  <si>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</si>
  <si>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</si>
  <si>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</si>
  <si>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</si>
  <si>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</si>
  <si>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</si>
  <si>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</si>
  <si>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</si>
  <si>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</si>
  <si>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</si>
  <si>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</si>
  <si>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</si>
  <si>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</si>
  <si>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</si>
  <si>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</si>
  <si>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</si>
  <si>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</si>
  <si>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</si>
  <si>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</si>
  <si>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</si>
  <si>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</si>
  <si>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</si>
  <si>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</si>
  <si>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</si>
  <si>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</si>
  <si>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</si>
  <si>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</si>
  <si>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</si>
  <si>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</si>
  <si>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</si>
  <si>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</si>
  <si>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</si>
  <si>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</si>
  <si>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</si>
  <si>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</si>
  <si>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</si>
  <si>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</si>
  <si>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</si>
  <si>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</si>
  <si>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</si>
  <si>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</si>
  <si>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</si>
  <si>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</si>
  <si>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</si>
  <si>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</si>
  <si>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</si>
  <si>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</si>
  <si>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</si>
  <si>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</si>
  <si>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</si>
  <si>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</si>
  <si>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</si>
  <si>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</si>
  <si>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</si>
  <si>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</si>
  <si>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</si>
  <si>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</si>
  <si>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</si>
  <si>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</si>
  <si>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</si>
  <si>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</si>
  <si>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</si>
  <si>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</si>
  <si>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</si>
  <si>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</si>
  <si>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</si>
  <si>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</si>
  <si>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</si>
  <si>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</si>
  <si>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</si>
  <si>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</si>
  <si>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</si>
  <si>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</si>
  <si>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</si>
  <si>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</si>
  <si>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</si>
  <si>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</si>
  <si>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</si>
  <si>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</si>
  <si>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</si>
  <si>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</si>
  <si>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</si>
  <si>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</si>
  <si>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</si>
  <si>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</si>
  <si>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</si>
  <si>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</si>
  <si>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</si>
  <si>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</si>
  <si>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</si>
  <si>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</si>
  <si>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</si>
  <si>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</si>
  <si>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</si>
  <si>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</si>
  <si>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</si>
  <si>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</si>
  <si>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</si>
  <si>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</si>
  <si>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</si>
  <si>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</si>
  <si>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</si>
  <si>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</si>
  <si>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</si>
  <si>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</si>
  <si>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</si>
  <si>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</si>
  <si>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</si>
  <si>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</si>
  <si>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</si>
  <si>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</si>
  <si>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</si>
  <si>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</si>
  <si>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</si>
  <si>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</si>
  <si>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</si>
  <si>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</si>
  <si>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</si>
  <si>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</si>
  <si>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</si>
  <si>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</si>
  <si>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</si>
  <si>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</si>
  <si>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</si>
  <si>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</si>
  <si>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</si>
  <si>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</si>
  <si>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</si>
  <si>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</si>
  <si>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</si>
  <si>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</si>
  <si>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</si>
  <si>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</si>
  <si>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</si>
  <si>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</si>
  <si>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</si>
  <si>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</si>
  <si>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</si>
  <si>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</si>
  <si>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</si>
  <si>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</si>
  <si>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</si>
  <si>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</si>
  <si>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</si>
  <si>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</si>
  <si>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</si>
  <si>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</si>
  <si>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</si>
  <si>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</si>
  <si>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</si>
  <si>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</si>
  <si>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</si>
  <si>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</si>
  <si>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</si>
  <si>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</si>
  <si>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</si>
  <si>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</si>
  <si>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</si>
  <si>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</si>
  <si>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</si>
  <si>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</si>
  <si>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</si>
  <si>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</si>
  <si>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</si>
  <si>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</si>
  <si>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</si>
  <si>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</si>
  <si>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</si>
  <si>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</si>
  <si>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</si>
  <si>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</si>
  <si>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</si>
  <si>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</si>
  <si>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</si>
  <si>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</si>
  <si>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</si>
  <si>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</si>
  <si>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</si>
  <si>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</si>
  <si>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</si>
  <si>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</si>
  <si>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</si>
  <si>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</si>
  <si>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</si>
  <si>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</si>
  <si>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</si>
  <si>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</si>
  <si>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</si>
  <si>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</si>
  <si>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</si>
  <si>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</si>
  <si>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</si>
  <si>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</si>
  <si>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</si>
  <si>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</si>
  <si>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</si>
  <si>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</si>
  <si>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</si>
  <si>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</si>
  <si>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</si>
  <si>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</si>
  <si>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</si>
  <si>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</si>
  <si>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</si>
  <si>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</si>
  <si>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</si>
  <si>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</si>
  <si>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</si>
  <si>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</si>
  <si>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</si>
  <si>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</si>
  <si>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</si>
  <si>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</si>
  <si>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</si>
  <si>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</si>
  <si>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</si>
  <si>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</si>
  <si>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</si>
  <si>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</si>
  <si>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</si>
  <si>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</si>
  <si>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</si>
  <si>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</si>
  <si>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</si>
  <si>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</si>
  <si>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</si>
  <si>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</si>
  <si>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</si>
  <si>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</si>
  <si>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</si>
  <si>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</si>
  <si>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</si>
  <si>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</si>
  <si>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</si>
  <si>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</si>
  <si>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</si>
  <si>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</si>
  <si>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</si>
  <si>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</si>
  <si>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</si>
  <si>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</si>
  <si>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</si>
  <si>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</si>
  <si>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</si>
  <si>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</si>
  <si>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</si>
  <si>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</si>
  <si>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</si>
  <si>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</si>
  <si>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</si>
  <si>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</si>
  <si>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</si>
  <si>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</si>
  <si>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</si>
  <si>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</si>
  <si>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</si>
  <si>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</si>
  <si>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</si>
  <si>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</si>
  <si>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</si>
  <si>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</si>
  <si>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</si>
  <si>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</si>
  <si>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</si>
  <si>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</si>
  <si>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</si>
  <si>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</si>
  <si>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</si>
  <si>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</si>
  <si>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</si>
  <si>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</si>
  <si>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</si>
  <si>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</si>
  <si>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</si>
  <si>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</si>
  <si>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</si>
  <si>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</si>
  <si>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</si>
  <si>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</si>
  <si>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</si>
  <si>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</si>
  <si>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</si>
  <si>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</si>
  <si>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</si>
  <si>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</si>
  <si>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</si>
  <si>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</si>
  <si>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</si>
  <si>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</si>
  <si>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</si>
  <si>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</si>
  <si>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</si>
  <si>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</si>
  <si>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</si>
  <si>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</si>
  <si>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</si>
  <si>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</si>
  <si>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</si>
  <si>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</si>
  <si>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</si>
  <si>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</si>
  <si>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</si>
  <si>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</si>
  <si>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</si>
  <si>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</si>
  <si>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</si>
  <si>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</si>
  <si>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</si>
  <si>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</si>
  <si>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</si>
  <si>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</si>
  <si>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</si>
  <si>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</si>
  <si>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</si>
  <si>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</si>
  <si>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</si>
  <si>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</si>
  <si>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</si>
  <si>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</si>
  <si>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</si>
  <si>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</si>
  <si>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</si>
  <si>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</si>
  <si>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</si>
  <si>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</si>
  <si>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</si>
  <si>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</si>
  <si>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</si>
  <si>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</si>
  <si>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</si>
  <si>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</si>
  <si>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</si>
  <si>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</si>
  <si>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</si>
  <si>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</si>
  <si>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</si>
  <si>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</si>
  <si>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</si>
  <si>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</si>
  <si>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</si>
  <si>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</si>
  <si>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</si>
  <si>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</si>
  <si>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</si>
  <si>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</si>
  <si>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</si>
  <si>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</si>
  <si>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</si>
  <si>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</si>
  <si>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</si>
  <si>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</si>
  <si>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</si>
  <si>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</si>
  <si>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</si>
  <si>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</si>
  <si>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</si>
  <si>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</si>
  <si>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</si>
  <si>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</si>
  <si>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</si>
  <si>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</si>
  <si>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</si>
  <si>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</si>
  <si>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</si>
  <si>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</si>
  <si>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</si>
  <si>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</si>
  <si>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</si>
  <si>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</si>
  <si>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</si>
  <si>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</si>
  <si>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</si>
  <si>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</si>
  <si>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</si>
  <si>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</si>
  <si>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</si>
  <si>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</si>
  <si>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</si>
  <si>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</si>
  <si>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</si>
  <si>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</si>
  <si>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</si>
  <si>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</si>
  <si>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</si>
  <si>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</si>
  <si>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</si>
  <si>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</si>
  <si>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</si>
  <si>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</si>
  <si>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</si>
  <si>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</si>
  <si>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</si>
  <si>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</si>
  <si>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</si>
  <si>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</si>
  <si>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</si>
  <si>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</si>
  <si>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</si>
  <si>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</si>
  <si>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</si>
  <si>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</si>
  <si>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</si>
  <si>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</si>
  <si>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</si>
  <si>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</si>
  <si>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</si>
  <si>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</si>
  <si>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</si>
  <si>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</si>
  <si>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</si>
  <si>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</si>
  <si>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</si>
  <si>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</si>
  <si>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</si>
  <si>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</si>
  <si>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</si>
  <si>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</si>
  <si>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</si>
  <si>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</si>
  <si>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</si>
  <si>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</si>
  <si>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</si>
  <si>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</si>
  <si>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</si>
  <si>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</si>
  <si>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</si>
  <si>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</si>
  <si>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</si>
  <si>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</si>
  <si>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</si>
  <si>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</si>
  <si>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</si>
  <si>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</si>
  <si>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</si>
  <si>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</si>
  <si>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</si>
  <si>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</si>
  <si>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</si>
  <si>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</si>
  <si>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</si>
  <si>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</si>
  <si>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</si>
  <si>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</si>
  <si>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</si>
  <si>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</si>
  <si>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</si>
  <si>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</si>
  <si>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</si>
  <si>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</si>
  <si>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</si>
  <si>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</si>
  <si>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</si>
  <si>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</si>
  <si>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</si>
  <si>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</si>
  <si>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</si>
  <si>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</si>
  <si>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</si>
  <si>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</si>
  <si>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</si>
  <si>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</si>
  <si>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</si>
  <si>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</si>
  <si>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</si>
  <si>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</si>
  <si>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</si>
  <si>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</si>
  <si>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</si>
  <si>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</si>
  <si>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</si>
  <si>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</si>
  <si>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</si>
  <si>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</si>
  <si>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</si>
  <si>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</si>
  <si>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</si>
  <si>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</si>
  <si>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</si>
  <si>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</si>
  <si>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</si>
  <si>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</si>
  <si>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</si>
  <si>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</si>
  <si>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</si>
  <si>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</si>
  <si>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</si>
  <si>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</si>
  <si>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</si>
  <si>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</si>
  <si>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</si>
  <si>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</si>
  <si>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</si>
  <si>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</si>
  <si>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</si>
  <si>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</si>
  <si>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</si>
  <si>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</si>
  <si>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</si>
  <si>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</si>
  <si>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</si>
  <si>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</si>
  <si>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</si>
  <si>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</si>
  <si>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</si>
  <si>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</si>
  <si>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</si>
  <si>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</si>
  <si>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</si>
  <si>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</si>
  <si>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</si>
  <si>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</si>
  <si>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</si>
  <si>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</si>
  <si>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</si>
  <si>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</si>
  <si>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</si>
  <si>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</si>
  <si>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</si>
  <si>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</si>
  <si>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</si>
  <si>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</si>
  <si>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</si>
  <si>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</si>
  <si>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</si>
  <si>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</si>
  <si>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</si>
  <si>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</si>
  <si>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</si>
  <si>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</si>
  <si>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</si>
  <si>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</si>
  <si>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</si>
  <si>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</si>
  <si>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</si>
  <si>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</si>
  <si>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</si>
  <si>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</si>
  <si>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</si>
  <si>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</si>
  <si>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</si>
  <si>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</si>
  <si>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</si>
  <si>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</si>
  <si>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</si>
  <si>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</si>
  <si>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</si>
  <si>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</si>
  <si>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</si>
  <si>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</si>
  <si>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</si>
  <si>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</si>
  <si>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</si>
  <si>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</si>
  <si>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</si>
  <si>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</si>
  <si>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</si>
  <si>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</si>
  <si>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</si>
  <si>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</si>
  <si>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</si>
  <si>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</si>
  <si>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</si>
  <si>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</si>
  <si>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</si>
  <si>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</si>
  <si>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</si>
  <si>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</si>
  <si>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</si>
  <si>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</si>
  <si>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</si>
  <si>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</si>
  <si>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</si>
  <si>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</si>
  <si>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</si>
  <si>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</si>
  <si>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</si>
  <si>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</si>
  <si>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</si>
  <si>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</si>
  <si>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</si>
  <si>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</si>
  <si>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</si>
  <si>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</si>
  <si>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</si>
  <si>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</si>
  <si>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</si>
  <si>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</si>
  <si>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</si>
  <si>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</si>
  <si>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</si>
  <si>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</si>
  <si>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</si>
  <si>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</si>
  <si>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</si>
  <si>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</si>
  <si>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</si>
  <si>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</si>
  <si>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</si>
  <si>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</si>
  <si>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</si>
  <si>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</si>
  <si>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</si>
  <si>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</si>
  <si>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</si>
  <si>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</si>
  <si>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</si>
  <si>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</si>
  <si>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</si>
  <si>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</si>
  <si>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</si>
  <si>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</si>
  <si>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</si>
  <si>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</si>
  <si>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</si>
  <si>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</si>
  <si>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</si>
  <si>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</si>
  <si>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</si>
  <si>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</si>
  <si>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</si>
  <si>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</si>
  <si>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</si>
  <si>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</si>
  <si>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</si>
  <si>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</si>
  <si>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</si>
  <si>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</si>
  <si>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</si>
  <si>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</si>
  <si>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</si>
  <si>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</si>
  <si>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</si>
  <si>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</si>
  <si>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</si>
  <si>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</si>
  <si>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</si>
  <si>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</si>
  <si>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</si>
  <si>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</si>
  <si>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</si>
  <si>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</si>
  <si>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</si>
  <si>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</si>
  <si>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</si>
  <si>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</si>
  <si>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</si>
  <si>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</si>
  <si>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</si>
  <si>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</si>
  <si>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</si>
  <si>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</si>
  <si>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</si>
  <si>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</si>
  <si>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</si>
  <si>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</si>
  <si>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</si>
  <si>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</si>
  <si>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</si>
  <si>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</si>
  <si>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</si>
  <si>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</si>
  <si>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</si>
  <si>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</si>
  <si>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</si>
  <si>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</si>
  <si>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</si>
  <si>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</si>
  <si>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</si>
  <si>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</si>
  <si>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</si>
  <si>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</si>
  <si>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</si>
  <si>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</si>
  <si>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</si>
  <si>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</si>
  <si>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</si>
  <si>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</si>
  <si>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</si>
  <si>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</si>
  <si>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</si>
  <si>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</si>
  <si>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</si>
  <si>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</si>
  <si>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</si>
  <si>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</si>
  <si>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</si>
  <si>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</si>
  <si>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</si>
  <si>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</si>
  <si>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</si>
  <si>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</si>
  <si>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</si>
  <si>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</si>
  <si>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</si>
  <si>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</si>
  <si>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</si>
  <si>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</si>
  <si>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</si>
  <si>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</si>
  <si>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</si>
  <si>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</si>
  <si>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</si>
  <si>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</si>
  <si>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</si>
  <si>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</si>
  <si>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</si>
  <si>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</si>
  <si>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</si>
  <si>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</si>
  <si>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</si>
  <si>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</si>
  <si>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</si>
  <si>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</si>
  <si>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</si>
  <si>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</si>
  <si>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</si>
  <si>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</si>
  <si>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</si>
  <si>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</si>
  <si>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</si>
  <si>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</si>
  <si>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</si>
  <si>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</si>
  <si>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</si>
  <si>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</si>
  <si>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</si>
  <si>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</si>
  <si>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</si>
  <si>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</si>
  <si>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</si>
  <si>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</si>
  <si>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</si>
  <si>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</si>
  <si>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</si>
  <si>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</si>
  <si>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</si>
  <si>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</si>
  <si>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</si>
  <si>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</si>
  <si>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</si>
  <si>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</si>
  <si>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</si>
  <si>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</si>
  <si>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</si>
  <si>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</si>
  <si>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</si>
  <si>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</si>
  <si>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</si>
  <si>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</si>
  <si>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</si>
  <si>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</si>
  <si>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</si>
  <si>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</si>
  <si>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</si>
  <si>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</si>
  <si>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</si>
  <si>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</si>
  <si>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</si>
  <si>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</si>
  <si>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</si>
  <si>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</si>
  <si>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</si>
  <si>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</si>
  <si>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</si>
  <si>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</si>
  <si>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</si>
  <si>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</si>
  <si>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</si>
  <si>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</si>
  <si>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</si>
  <si>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</si>
  <si>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</si>
  <si>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</si>
  <si>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</si>
  <si>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</si>
  <si>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</si>
  <si>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</si>
  <si>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</si>
  <si>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</si>
  <si>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</si>
  <si>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</si>
  <si>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</si>
  <si>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</si>
  <si>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</si>
  <si>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</si>
  <si>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</si>
  <si>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</si>
  <si>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</si>
  <si>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</si>
  <si>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</si>
  <si>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</si>
  <si>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</si>
  <si>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</si>
  <si>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</si>
  <si>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</si>
  <si>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</si>
  <si>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</si>
  <si>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</si>
  <si>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</si>
  <si>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</si>
  <si>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</si>
  <si>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</si>
  <si>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</si>
  <si>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</si>
  <si>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</si>
  <si>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</si>
  <si>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</si>
  <si>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</si>
  <si>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</si>
  <si>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</si>
  <si>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</si>
  <si>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</si>
  <si>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</si>
  <si>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</si>
  <si>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</si>
  <si>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</si>
  <si>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</si>
  <si>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</si>
  <si>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</si>
  <si>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</si>
  <si>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</si>
  <si>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</si>
  <si>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</si>
  <si>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</si>
  <si>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</si>
  <si>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</si>
  <si>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</si>
  <si>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</si>
  <si>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</si>
  <si>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</si>
  <si>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</si>
  <si>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</si>
  <si>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</si>
  <si>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</si>
  <si>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</si>
  <si>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</si>
  <si>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</si>
  <si>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</si>
  <si>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</si>
  <si>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</si>
  <si>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</si>
  <si>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</si>
  <si>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</si>
  <si>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</si>
  <si>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</si>
  <si>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</si>
  <si>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</si>
  <si>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</si>
  <si>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</si>
  <si>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</si>
  <si>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</si>
  <si>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</si>
  <si>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</si>
  <si>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</si>
  <si>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</si>
  <si>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</si>
  <si>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</si>
  <si>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</si>
  <si>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</si>
  <si>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</si>
  <si>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</si>
  <si>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</si>
  <si>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</si>
  <si>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</si>
  <si>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</si>
  <si>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</si>
  <si>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</si>
  <si>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</si>
  <si>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</si>
  <si>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</si>
  <si>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</si>
  <si>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</si>
  <si>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</si>
  <si>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</si>
  <si>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</si>
  <si>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</si>
  <si>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</si>
  <si>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</si>
  <si>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</si>
  <si>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</si>
  <si>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</si>
  <si>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</si>
  <si>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</si>
  <si>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</si>
  <si>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</si>
  <si>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</si>
  <si>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</si>
  <si>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</si>
  <si>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</si>
  <si>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</si>
  <si>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</si>
  <si>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</si>
  <si>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</si>
  <si>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</si>
  <si>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</si>
  <si>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</si>
  <si>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</si>
  <si>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</si>
  <si>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</si>
  <si>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</si>
  <si>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</si>
  <si>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</si>
  <si>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</si>
  <si>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</si>
  <si>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</si>
  <si>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</si>
  <si>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</si>
  <si>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</si>
  <si>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</si>
  <si>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</si>
  <si>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</si>
  <si>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</si>
  <si>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</si>
  <si>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</si>
  <si>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</si>
  <si>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</si>
  <si>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</si>
  <si>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</si>
  <si>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</si>
  <si>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</si>
  <si>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</si>
  <si>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</si>
  <si>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</si>
  <si>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</si>
  <si>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</si>
  <si>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</si>
  <si>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</si>
  <si>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</si>
  <si>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</si>
  <si>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</si>
  <si>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</si>
  <si>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</si>
  <si>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</si>
  <si>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</si>
  <si>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</si>
  <si>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</si>
  <si>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</si>
  <si>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</si>
  <si>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</si>
  <si>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</si>
  <si>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</si>
  <si>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</si>
  <si>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</si>
  <si>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</si>
  <si>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</si>
  <si>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</si>
  <si>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</si>
  <si>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</si>
  <si>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</si>
  <si>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</si>
  <si>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</si>
  <si>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</si>
  <si>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</si>
  <si>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</si>
  <si>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</si>
  <si>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</si>
  <si>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</si>
  <si>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</si>
  <si>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</si>
  <si>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</si>
  <si>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</si>
  <si>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</si>
  <si>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</si>
  <si>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</si>
  <si>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</si>
  <si>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</si>
  <si>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</si>
  <si>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</si>
  <si>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</si>
  <si>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</si>
  <si>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</si>
  <si>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</si>
  <si>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</si>
  <si>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</si>
  <si>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</si>
  <si>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</si>
  <si>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</si>
  <si>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</si>
  <si>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</si>
  <si>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</si>
  <si>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</si>
  <si>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</si>
  <si>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</si>
  <si>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</si>
  <si>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</si>
  <si>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</si>
  <si>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</si>
  <si>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</si>
  <si>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</si>
  <si>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</si>
  <si>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</si>
  <si>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</si>
  <si>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</si>
  <si>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</si>
  <si>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</si>
  <si>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</si>
  <si>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</si>
  <si>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</si>
  <si>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</si>
  <si>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</si>
  <si>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</si>
  <si>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</si>
  <si>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</si>
  <si>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</si>
  <si>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</si>
  <si>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</si>
  <si>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</si>
  <si>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</si>
  <si>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</si>
  <si>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</si>
  <si>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</si>
  <si>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</si>
  <si>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</si>
  <si>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</si>
  <si>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</si>
  <si>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</si>
  <si>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</si>
  <si>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</si>
  <si>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</si>
  <si>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</si>
  <si>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</si>
  <si>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</si>
  <si>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</si>
  <si>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</si>
  <si>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</si>
  <si>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</si>
  <si>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</si>
  <si>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</si>
  <si>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</si>
  <si>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</si>
  <si>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</si>
  <si>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</si>
  <si>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</si>
  <si>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</si>
  <si>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</si>
  <si>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</si>
  <si>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</si>
  <si>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</si>
  <si>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</si>
  <si>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</si>
  <si>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</si>
  <si>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</si>
  <si>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</si>
  <si>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</si>
  <si>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</si>
  <si>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</si>
  <si>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</si>
  <si>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</si>
  <si>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</si>
  <si>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</si>
  <si>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</si>
  <si>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</si>
  <si>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</si>
  <si>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</si>
  <si>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</si>
  <si>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</si>
  <si>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</si>
  <si>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</si>
  <si>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</si>
  <si>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</si>
  <si>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</si>
  <si>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</si>
  <si>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</si>
  <si>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</si>
  <si>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</si>
  <si>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</si>
  <si>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</si>
  <si>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</si>
  <si>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</si>
  <si>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</si>
  <si>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</si>
  <si>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</si>
  <si>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</si>
  <si>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</si>
  <si>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</si>
  <si>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</si>
  <si>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</si>
  <si>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</si>
  <si>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</si>
  <si>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</si>
  <si>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</si>
  <si>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</si>
  <si>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</si>
  <si>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</si>
  <si>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</si>
  <si>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</si>
  <si>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</si>
  <si>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</si>
  <si>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</si>
  <si>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</si>
  <si>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</si>
  <si>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</si>
  <si>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</si>
  <si>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</si>
  <si>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</si>
  <si>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</si>
  <si>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</si>
  <si>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</si>
  <si>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</si>
  <si>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</si>
  <si>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</si>
  <si>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</si>
  <si>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</si>
  <si>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</si>
  <si>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</si>
  <si>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</si>
  <si>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</si>
  <si>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</si>
  <si>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</si>
  <si>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</si>
  <si>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</si>
  <si>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</si>
  <si>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</si>
  <si>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</si>
  <si>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</si>
  <si>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</si>
  <si>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</si>
  <si>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</si>
  <si>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</si>
  <si>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</si>
  <si>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</si>
  <si>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</si>
  <si>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</si>
  <si>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</si>
  <si>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</si>
  <si>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</si>
  <si>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</si>
  <si>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</si>
  <si>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</si>
  <si>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</si>
  <si>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</si>
  <si>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</si>
  <si>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</si>
  <si>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</si>
  <si>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</si>
  <si>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</si>
  <si>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</si>
  <si>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</si>
  <si>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</si>
  <si>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</si>
  <si>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</si>
  <si>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</si>
  <si>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</si>
  <si>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</si>
  <si>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</si>
  <si>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</si>
  <si>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</si>
  <si>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</si>
  <si>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</si>
  <si>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</si>
  <si>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</si>
  <si>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</si>
  <si>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</si>
  <si>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</si>
  <si>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</si>
  <si>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</si>
  <si>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</si>
  <si>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</si>
  <si>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</si>
  <si>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</si>
  <si>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</si>
  <si>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</si>
  <si>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</si>
  <si>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</si>
  <si>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</si>
  <si>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</si>
  <si>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</si>
  <si>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</si>
  <si>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</si>
  <si>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</si>
  <si>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</si>
  <si>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</si>
  <si>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</si>
  <si>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</si>
  <si>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</si>
  <si>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</si>
  <si>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</si>
  <si>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</si>
  <si>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</si>
  <si>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</si>
  <si>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</si>
  <si>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</si>
  <si>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</si>
  <si>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</si>
  <si>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</si>
  <si>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</si>
  <si>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</si>
  <si>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</si>
  <si>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</si>
  <si>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</si>
  <si>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</si>
  <si>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</si>
  <si>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</si>
  <si>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</si>
  <si>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</si>
  <si>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</si>
  <si>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</si>
  <si>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</si>
  <si>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</si>
  <si>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</si>
  <si>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</si>
  <si>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</si>
  <si>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</si>
  <si>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</si>
  <si>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</si>
  <si>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</si>
  <si>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</si>
  <si>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</si>
  <si>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</si>
  <si>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</si>
  <si>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</si>
  <si>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</si>
  <si>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</si>
  <si>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</si>
  <si>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</si>
  <si>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</si>
  <si>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</si>
  <si>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</si>
  <si>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</si>
  <si>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</si>
  <si>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</si>
  <si>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</si>
  <si>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</si>
  <si>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</si>
  <si>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</si>
  <si>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</si>
  <si>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</si>
  <si>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</si>
  <si>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</si>
  <si>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</si>
  <si>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</si>
  <si>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</si>
  <si>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</si>
  <si>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</si>
  <si>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</si>
  <si>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</si>
  <si>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</si>
  <si>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</si>
  <si>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</si>
  <si>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</si>
  <si>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</si>
  <si>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</si>
  <si>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</si>
  <si>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</si>
  <si>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</si>
  <si>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</si>
  <si>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</si>
  <si>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</si>
  <si>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</si>
  <si>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</si>
  <si>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</si>
  <si>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</si>
  <si>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</si>
  <si>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</si>
  <si>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</si>
  <si>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</si>
  <si>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</si>
  <si>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</si>
  <si>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</si>
  <si>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</si>
  <si>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</si>
  <si>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</si>
  <si>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</si>
  <si>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</si>
  <si>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</si>
  <si>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</si>
  <si>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</si>
  <si>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</si>
  <si>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</si>
  <si>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</si>
  <si>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</si>
  <si>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</si>
  <si>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</si>
  <si>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</si>
  <si>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</si>
  <si>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</si>
  <si>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</si>
  <si>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</si>
  <si>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</si>
  <si>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</si>
  <si>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</si>
  <si>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</si>
  <si>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</si>
  <si>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</si>
  <si>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</si>
  <si>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</si>
  <si>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</si>
  <si>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</si>
  <si>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</si>
  <si>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</si>
  <si>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</si>
  <si>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</si>
  <si>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</si>
  <si>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</si>
  <si>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</si>
  <si>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</si>
  <si>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</si>
  <si>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</si>
  <si>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</si>
  <si>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</si>
  <si>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</si>
  <si>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</si>
  <si>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</si>
  <si>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</si>
  <si>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</si>
  <si>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</si>
  <si>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</si>
  <si>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</si>
  <si>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</si>
  <si>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</si>
  <si>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</si>
  <si>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</si>
  <si>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</si>
  <si>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</si>
  <si>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</si>
  <si>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</si>
  <si>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</si>
  <si>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</si>
  <si>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</si>
  <si>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</si>
  <si>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</si>
  <si>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</si>
  <si>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</si>
  <si>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</si>
  <si>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</si>
  <si>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</si>
  <si>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</si>
  <si>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</si>
  <si>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</si>
  <si>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</si>
  <si>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</si>
  <si>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</si>
  <si>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</si>
  <si>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</si>
  <si>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</si>
  <si>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</si>
  <si>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</si>
  <si>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</si>
  <si>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</si>
  <si>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</si>
  <si>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</si>
  <si>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</si>
  <si>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</si>
  <si>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</si>
  <si>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</si>
  <si>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</si>
  <si>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</si>
  <si>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</si>
  <si>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</si>
  <si>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</si>
  <si>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</si>
  <si>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</si>
  <si>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</si>
  <si>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</si>
  <si>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</si>
  <si>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</si>
  <si>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</si>
  <si>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</si>
  <si>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</si>
  <si>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</si>
  <si>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</si>
  <si>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</si>
  <si>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</si>
  <si>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</si>
  <si>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</si>
  <si>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</si>
  <si>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</si>
  <si>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</si>
  <si>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</si>
  <si>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</si>
  <si>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</si>
  <si>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</si>
  <si>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</si>
  <si>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</si>
  <si>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</si>
  <si>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</si>
  <si>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</si>
  <si>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</si>
  <si>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</si>
  <si>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</si>
  <si>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</si>
  <si>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</si>
  <si>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</si>
  <si>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</si>
  <si>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</si>
  <si>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</si>
  <si>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</si>
  <si>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</si>
  <si>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</si>
  <si>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</si>
  <si>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</si>
  <si>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</si>
  <si>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</si>
  <si>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</si>
  <si>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</si>
  <si>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</si>
  <si>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</si>
  <si>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</si>
  <si>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</si>
  <si>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</si>
  <si>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</si>
  <si>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</si>
  <si>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</si>
  <si>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</si>
  <si>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</si>
  <si>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</si>
  <si>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</si>
  <si>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</si>
  <si>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</si>
  <si>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</si>
  <si>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</si>
  <si>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</si>
  <si>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</si>
  <si>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</si>
  <si>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</si>
  <si>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</si>
  <si>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</si>
  <si>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</si>
  <si>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</si>
  <si>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</si>
  <si>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</si>
  <si>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</si>
  <si>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</si>
  <si>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</si>
  <si>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</si>
  <si>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</si>
  <si>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</si>
  <si>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</si>
  <si>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</si>
  <si>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</si>
  <si>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</si>
  <si>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</si>
  <si>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</si>
  <si>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</si>
  <si>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</si>
  <si>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</si>
  <si>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</si>
  <si>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</si>
  <si>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</si>
  <si>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</si>
  <si>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</si>
  <si>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</si>
  <si>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</si>
  <si>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</si>
  <si>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</si>
  <si>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</si>
  <si>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</si>
  <si>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</si>
  <si>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</si>
  <si>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</si>
  <si>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</si>
  <si>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</si>
  <si>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</si>
  <si>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</si>
  <si>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</si>
  <si>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</si>
  <si>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</si>
  <si>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</si>
  <si>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</si>
  <si>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</si>
  <si>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</si>
  <si>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</si>
  <si>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</si>
  <si>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</si>
  <si>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</si>
  <si>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</si>
  <si>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</si>
  <si>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</si>
  <si>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</si>
  <si>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</si>
  <si>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</si>
  <si>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</si>
  <si>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</si>
  <si>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</si>
  <si>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</si>
  <si>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</si>
  <si>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</si>
  <si>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</si>
  <si>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</si>
  <si>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</si>
  <si>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</si>
  <si>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</si>
  <si>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</si>
  <si>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</si>
  <si>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</si>
  <si>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</si>
  <si>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</si>
  <si>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</si>
  <si>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</si>
  <si>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</si>
  <si>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</si>
  <si>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</si>
  <si>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</si>
  <si>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</si>
  <si>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</si>
  <si>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</si>
  <si>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</si>
  <si>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</si>
  <si>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</si>
  <si>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</si>
  <si>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</si>
  <si>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</si>
  <si>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</si>
  <si>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</si>
  <si>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</si>
  <si>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</si>
  <si>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</si>
  <si>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</si>
  <si>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</si>
  <si>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</si>
  <si>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</si>
  <si>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</si>
  <si>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</si>
  <si>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</si>
  <si>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</si>
  <si>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</si>
  <si>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</si>
  <si>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</si>
  <si>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</si>
  <si>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</si>
  <si>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</si>
  <si>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</si>
  <si>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</si>
  <si>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</si>
  <si>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</si>
  <si>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</si>
  <si>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</si>
  <si>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</si>
  <si>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</si>
  <si>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</si>
  <si>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</si>
  <si>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</si>
  <si>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</si>
  <si>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1:1.2</t>
    <phoneticPr fontId="31" type="noConversion"/>
  </si>
  <si>
    <t>精装修</t>
    <phoneticPr fontId="31" type="noConversion"/>
  </si>
  <si>
    <t>普通装修</t>
    <phoneticPr fontId="31"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</si>
  <si>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</si>
  <si>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</si>
  <si>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</si>
  <si>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</si>
  <si>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</si>
  <si>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</si>
  <si>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</si>
  <si>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</si>
  <si>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</si>
  <si>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</si>
  <si>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</si>
  <si>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</si>
  <si>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</si>
  <si>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</si>
  <si>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</si>
  <si>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</si>
  <si>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</si>
  <si>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</si>
  <si>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</si>
  <si>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</si>
  <si>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</si>
  <si>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</si>
  <si>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</si>
  <si>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</si>
  <si>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</si>
  <si>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</si>
  <si>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</si>
  <si>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</si>
  <si>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</si>
  <si>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</si>
  <si>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</si>
  <si>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</si>
  <si>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</si>
  <si>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</si>
  <si>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</si>
  <si>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</si>
  <si>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</si>
  <si>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</si>
  <si>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</si>
  <si>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</si>
  <si>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</si>
  <si>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</si>
  <si>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</si>
  <si>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</si>
  <si>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</si>
  <si>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</si>
  <si>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</si>
  <si>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</si>
  <si>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</si>
  <si>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</si>
  <si>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</si>
  <si>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</si>
  <si>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</si>
  <si>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</si>
  <si>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</si>
  <si>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</si>
  <si>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</si>
  <si>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</si>
  <si>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</si>
  <si>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</si>
  <si>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</si>
  <si>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</si>
  <si>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</si>
  <si>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</si>
  <si>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</si>
  <si>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</si>
  <si>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</si>
  <si>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</si>
  <si>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</si>
  <si>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</si>
  <si>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</si>
  <si>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</si>
  <si>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</si>
  <si>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</si>
  <si>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</si>
  <si>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</si>
  <si>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</si>
  <si>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</si>
  <si>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</si>
  <si>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</si>
  <si>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</si>
  <si>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</si>
  <si>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</si>
  <si>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</si>
  <si>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</si>
  <si>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</si>
  <si>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</si>
  <si>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</si>
  <si>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</si>
  <si>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</si>
  <si>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</si>
  <si>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</si>
  <si>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</si>
  <si>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</si>
  <si>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</si>
  <si>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</si>
  <si>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</si>
  <si>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</si>
  <si>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</si>
  <si>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</si>
  <si>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</si>
  <si>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</si>
  <si>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</si>
  <si>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</si>
  <si>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</si>
  <si>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</si>
  <si>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</si>
  <si>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</si>
  <si>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</si>
  <si>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</si>
  <si>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</si>
  <si>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</si>
  <si>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</si>
  <si>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</si>
  <si>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</si>
  <si>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</si>
  <si>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</si>
  <si>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</si>
  <si>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</si>
  <si>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</si>
  <si>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</si>
  <si>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</si>
  <si>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</si>
  <si>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</si>
  <si>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</si>
  <si>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</si>
  <si>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</si>
  <si>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</si>
  <si>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</si>
  <si>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</si>
  <si>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</si>
  <si>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</si>
  <si>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</si>
  <si>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</si>
  <si>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</si>
  <si>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</si>
  <si>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</si>
  <si>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</si>
  <si>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</si>
  <si>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</si>
  <si>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</si>
  <si>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</si>
  <si>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</si>
  <si>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</si>
  <si>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</si>
  <si>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</si>
  <si>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</si>
  <si>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</si>
  <si>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</si>
  <si>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</si>
  <si>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</si>
  <si>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</si>
  <si>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</si>
  <si>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</si>
  <si>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</si>
  <si>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</si>
  <si>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</si>
  <si>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</si>
  <si>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</si>
  <si>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</si>
  <si>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</si>
  <si>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</si>
  <si>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</si>
  <si>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</si>
  <si>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</si>
  <si>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</si>
  <si>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</si>
  <si>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</si>
  <si>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</si>
  <si>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</si>
  <si>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</si>
  <si>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</si>
  <si>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</si>
  <si>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</si>
  <si>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</si>
  <si>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</si>
  <si>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</si>
  <si>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</si>
  <si>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</si>
  <si>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</si>
  <si>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</si>
  <si>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</si>
  <si>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</si>
  <si>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</si>
  <si>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</si>
  <si>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</si>
  <si>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</si>
  <si>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</si>
  <si>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</si>
  <si>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</si>
  <si>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</si>
  <si>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</si>
  <si>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</si>
  <si>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</si>
  <si>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</si>
  <si>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</si>
  <si>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</si>
  <si>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</si>
  <si>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</si>
  <si>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</si>
  <si>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</si>
  <si>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</si>
  <si>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</si>
  <si>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</si>
  <si>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</si>
  <si>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</si>
  <si>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</si>
  <si>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</si>
  <si>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</si>
  <si>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</si>
  <si>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</si>
  <si>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</si>
  <si>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</si>
  <si>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</si>
  <si>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</si>
  <si>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</si>
  <si>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</si>
  <si>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</si>
  <si>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</si>
  <si>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</si>
  <si>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</si>
  <si>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</si>
  <si>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</si>
  <si>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</si>
  <si>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</si>
  <si>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</si>
  <si>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租金</t>
  </si>
  <si>
    <t>有</t>
  </si>
  <si>
    <t>有</t>
    <phoneticPr fontId="31" type="noConversion"/>
  </si>
  <si>
    <t>无</t>
    <phoneticPr fontId="31" type="noConversion"/>
  </si>
  <si>
    <t>是</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</si>
  <si>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</si>
  <si>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</si>
  <si>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周边停车位</t>
    <phoneticPr fontId="31" type="noConversion"/>
  </si>
  <si>
    <t>充足</t>
    <phoneticPr fontId="31" type="noConversion"/>
  </si>
  <si>
    <t>紧缺</t>
    <phoneticPr fontId="31" type="noConversion"/>
  </si>
  <si>
    <t>估价对象周边临近地铁7号线焦化厂站，周边有11路、34路公交车，周边道路通达度一般，综合评价交通便捷度一般</t>
    <phoneticPr fontId="3" type="noConversion"/>
  </si>
  <si>
    <t>大</t>
    <phoneticPr fontId="31" type="noConversion"/>
  </si>
  <si>
    <t>大</t>
    <phoneticPr fontId="3"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</si>
  <si>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</si>
  <si>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</si>
  <si>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</si>
  <si>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</si>
  <si>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</si>
  <si>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 type="noConversion"/>
  </si>
  <si>
    <t>家庭</t>
    <phoneticPr fontId="3" type="noConversion"/>
  </si>
  <si>
    <t>通水电</t>
    <phoneticPr fontId="31" type="noConversion"/>
  </si>
  <si>
    <t>不通</t>
    <phoneticPr fontId="31" type="noConversion"/>
  </si>
  <si>
    <t>公摊面积</t>
    <phoneticPr fontId="31" type="noConversion"/>
  </si>
  <si>
    <t>层高</t>
    <phoneticPr fontId="31" type="noConversion"/>
  </si>
  <si>
    <r>
      <rPr>
        <sz val="11"/>
        <rFont val="宋体"/>
        <family val="3"/>
        <charset val="134"/>
      </rPr>
      <t>大于</t>
    </r>
    <r>
      <rPr>
        <sz val="11"/>
        <rFont val="Arial"/>
        <family val="2"/>
      </rPr>
      <t>3</t>
    </r>
    <r>
      <rPr>
        <sz val="11"/>
        <rFont val="宋体"/>
        <family val="3"/>
        <charset val="134"/>
      </rPr>
      <t>米</t>
    </r>
    <phoneticPr fontId="31" type="noConversion"/>
  </si>
  <si>
    <r>
      <rPr>
        <sz val="11"/>
        <color indexed="8"/>
        <rFont val="宋体"/>
        <family val="3"/>
        <charset val="134"/>
      </rPr>
      <t>小于</t>
    </r>
    <r>
      <rPr>
        <sz val="11"/>
        <color indexed="8"/>
        <rFont val="Arial"/>
        <family val="2"/>
      </rPr>
      <t>3</t>
    </r>
    <r>
      <rPr>
        <sz val="11"/>
        <color indexed="8"/>
        <rFont val="宋体"/>
        <family val="3"/>
        <charset val="134"/>
      </rPr>
      <t>米</t>
    </r>
    <phoneticPr fontId="31" type="noConversion"/>
  </si>
  <si>
    <r>
      <rPr>
        <sz val="11"/>
        <rFont val="宋体"/>
        <family val="3"/>
        <charset val="134"/>
      </rPr>
      <t>小于</t>
    </r>
    <r>
      <rPr>
        <sz val="11"/>
        <rFont val="Arial"/>
        <family val="2"/>
      </rPr>
      <t>3</t>
    </r>
    <r>
      <rPr>
        <sz val="11"/>
        <rFont val="宋体"/>
        <family val="3"/>
        <charset val="134"/>
      </rPr>
      <t>米</t>
    </r>
    <phoneticPr fontId="31" type="noConversion"/>
  </si>
  <si>
    <t>小于20%</t>
    <phoneticPr fontId="31" type="noConversion"/>
  </si>
  <si>
    <t>20%-35%</t>
    <phoneticPr fontId="31" type="noConversion"/>
  </si>
  <si>
    <r>
      <rPr>
        <sz val="11"/>
        <rFont val="宋体"/>
        <family val="3"/>
        <charset val="134"/>
      </rPr>
      <t>大于</t>
    </r>
    <r>
      <rPr>
        <sz val="11"/>
        <rFont val="Arial"/>
        <family val="2"/>
      </rPr>
      <t>35%</t>
    </r>
    <phoneticPr fontId="31" type="noConversion"/>
  </si>
  <si>
    <r>
      <rPr>
        <sz val="11"/>
        <color indexed="8"/>
        <rFont val="宋体"/>
        <family val="3"/>
        <charset val="134"/>
      </rPr>
      <t>小于</t>
    </r>
    <r>
      <rPr>
        <sz val="11"/>
        <color indexed="8"/>
        <rFont val="Arial"/>
        <family val="2"/>
      </rPr>
      <t>20%</t>
    </r>
    <phoneticPr fontId="31" type="noConversion"/>
  </si>
  <si>
    <t>晓风印月</t>
    <phoneticPr fontId="3" type="noConversion"/>
  </si>
  <si>
    <t>东亚望京</t>
    <phoneticPr fontId="134" type="noConversion"/>
  </si>
  <si>
    <t>望京SOHO</t>
    <phoneticPr fontId="134" type="noConversion"/>
  </si>
  <si>
    <t>华彩国际公寓</t>
    <phoneticPr fontId="134" type="noConversion"/>
  </si>
  <si>
    <t>望京西园</t>
    <phoneticPr fontId="134" type="noConversion"/>
  </si>
  <si>
    <t>大西洋新城</t>
    <phoneticPr fontId="134" type="noConversion"/>
  </si>
  <si>
    <t>国风上观</t>
    <phoneticPr fontId="134" type="noConversion"/>
  </si>
  <si>
    <t>丽都壹号</t>
    <phoneticPr fontId="134" type="noConversion"/>
  </si>
  <si>
    <t>华鼎世家</t>
    <phoneticPr fontId="134" type="noConversion"/>
  </si>
  <si>
    <t>慧谷时空</t>
    <phoneticPr fontId="134" type="noConversion"/>
  </si>
  <si>
    <r>
      <t>1</t>
    </r>
    <r>
      <rPr>
        <sz val="11"/>
        <color theme="1"/>
        <rFont val="宋体"/>
        <family val="3"/>
        <charset val="134"/>
        <scheme val="minor"/>
      </rPr>
      <t>:1.6</t>
    </r>
    <phoneticPr fontId="134" type="noConversion"/>
  </si>
  <si>
    <t>将府家园</t>
    <phoneticPr fontId="134" type="noConversion"/>
  </si>
  <si>
    <t>保利中央公园</t>
    <phoneticPr fontId="134" type="noConversion"/>
  </si>
  <si>
    <r>
      <t>1</t>
    </r>
    <r>
      <rPr>
        <sz val="11"/>
        <color theme="1"/>
        <rFont val="宋体"/>
        <family val="3"/>
        <charset val="134"/>
        <scheme val="minor"/>
      </rPr>
      <t>:1.02</t>
    </r>
    <phoneticPr fontId="134" type="noConversion"/>
  </si>
  <si>
    <t>东湖湾</t>
    <phoneticPr fontId="134" type="noConversion"/>
  </si>
  <si>
    <t>1:0.6</t>
    <phoneticPr fontId="31" type="noConversion"/>
  </si>
  <si>
    <r>
      <t>1</t>
    </r>
    <r>
      <rPr>
        <sz val="11"/>
        <color theme="1"/>
        <rFont val="宋体"/>
        <family val="3"/>
        <charset val="134"/>
        <scheme val="minor"/>
      </rPr>
      <t>:1</t>
    </r>
    <phoneticPr fontId="134" type="noConversion"/>
  </si>
  <si>
    <r>
      <t>1</t>
    </r>
    <r>
      <rPr>
        <sz val="11"/>
        <color theme="1"/>
        <rFont val="宋体"/>
        <family val="3"/>
        <charset val="134"/>
        <scheme val="minor"/>
      </rPr>
      <t>:1.2</t>
    </r>
    <phoneticPr fontId="134" type="noConversion"/>
  </si>
  <si>
    <t>距离楼栋位置</t>
    <phoneticPr fontId="31" type="noConversion"/>
  </si>
  <si>
    <t>远</t>
    <phoneticPr fontId="31" type="noConversion"/>
  </si>
  <si>
    <t>一般</t>
    <phoneticPr fontId="31" type="noConversion"/>
  </si>
  <si>
    <t>挂牌</t>
    <phoneticPr fontId="31" type="noConversion"/>
  </si>
  <si>
    <t xml:space="preserve"> </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</si>
</sst>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1"/>
      <color rgb="FFFF0000"/>
      <name val="宋体"/>
      <family val="3"/>
      <charset val="134"/>
      <scheme val="minor"/>
    </font>
    <font>
      <sz val="11"/>
      <color indexed="8"/>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FC00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0" fontId="51" fillId="25"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5" fillId="5" borderId="0" xfId="0" applyFont="1" applyFill="1">
      <alignment vertical="center"/>
    </xf>
    <xf numFmtId="49" fontId="44" fillId="12" borderId="58" xfId="0" applyNumberFormat="1" applyFont="1" applyFill="1" applyBorder="1" applyAlignment="1" applyProtection="1">
      <alignment horizontal="center" vertical="center" wrapText="1"/>
      <protection locked="0"/>
    </xf>
    <xf numFmtId="49" fontId="296" fillId="12" borderId="58" xfId="0" applyNumberFormat="1" applyFont="1" applyFill="1" applyBorder="1" applyAlignment="1" applyProtection="1">
      <alignment horizontal="center" vertical="center" wrapText="1"/>
      <protection locked="0"/>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0" fontId="296" fillId="0" borderId="46"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296"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287" fillId="0" borderId="38" xfId="0" applyFont="1" applyBorder="1" applyAlignment="1" applyProtection="1">
      <alignment horizontal="center" vertical="center" wrapText="1"/>
      <protection locked="0"/>
    </xf>
    <xf numFmtId="0" fontId="296" fillId="0" borderId="38" xfId="0" applyFont="1" applyBorder="1" applyAlignment="1" applyProtection="1">
      <alignment horizontal="center" vertical="center" wrapText="1"/>
      <protection locked="0"/>
    </xf>
    <xf numFmtId="0" fontId="287" fillId="0" borderId="1"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0" fontId="95" fillId="5" borderId="0" xfId="0" applyFont="1" applyFill="1">
      <alignment vertical="center"/>
    </xf>
    <xf numFmtId="49" fontId="95" fillId="5" borderId="0" xfId="0" applyNumberFormat="1"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0" xfId="2" applyAlignment="1">
      <alignment horizont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304800</xdr:colOff>
      <xdr:row>0</xdr:row>
      <xdr:rowOff>0</xdr:rowOff>
    </xdr:from>
    <xdr:to>
      <xdr:col>21</xdr:col>
      <xdr:colOff>75543</xdr:colOff>
      <xdr:row>50</xdr:row>
      <xdr:rowOff>37024</xdr:rowOff>
    </xdr:to>
    <xdr:pic>
      <xdr:nvPicPr>
        <xdr:cNvPr id="2" name="图片 1">
          <a:extLst>
            <a:ext uri="{FF2B5EF4-FFF2-40B4-BE49-F238E27FC236}">
              <a16:creationId xmlns:a16="http://schemas.microsoft.com/office/drawing/2014/main" id="{0B04FB77-5155-F982-3E5C-8BA035EAF5C7}"/>
            </a:ext>
          </a:extLst>
        </xdr:cNvPr>
        <xdr:cNvPicPr>
          <a:picLocks noChangeAspect="1"/>
        </xdr:cNvPicPr>
      </xdr:nvPicPr>
      <xdr:blipFill>
        <a:blip xmlns:r="http://schemas.openxmlformats.org/officeDocument/2006/relationships" r:embed="rId1"/>
        <a:stretch>
          <a:fillRect/>
        </a:stretch>
      </xdr:blipFill>
      <xdr:spPr>
        <a:xfrm>
          <a:off x="9220200" y="0"/>
          <a:ext cx="5257143" cy="8609524"/>
        </a:xfrm>
        <a:prstGeom prst="rect">
          <a:avLst/>
        </a:prstGeom>
      </xdr:spPr>
    </xdr:pic>
    <xdr:clientData/>
  </xdr:twoCellAnchor>
  <xdr:twoCellAnchor editAs="oneCell">
    <xdr:from>
      <xdr:col>20</xdr:col>
      <xdr:colOff>609600</xdr:colOff>
      <xdr:row>0</xdr:row>
      <xdr:rowOff>85725</xdr:rowOff>
    </xdr:from>
    <xdr:to>
      <xdr:col>29</xdr:col>
      <xdr:colOff>370733</xdr:colOff>
      <xdr:row>11</xdr:row>
      <xdr:rowOff>18823</xdr:rowOff>
    </xdr:to>
    <xdr:pic>
      <xdr:nvPicPr>
        <xdr:cNvPr id="3" name="图片 2">
          <a:extLst>
            <a:ext uri="{FF2B5EF4-FFF2-40B4-BE49-F238E27FC236}">
              <a16:creationId xmlns:a16="http://schemas.microsoft.com/office/drawing/2014/main" id="{E3C82459-25BC-190F-ACFE-E0771AABDD10}"/>
            </a:ext>
          </a:extLst>
        </xdr:cNvPr>
        <xdr:cNvPicPr>
          <a:picLocks noChangeAspect="1"/>
        </xdr:cNvPicPr>
      </xdr:nvPicPr>
      <xdr:blipFill>
        <a:blip xmlns:r="http://schemas.openxmlformats.org/officeDocument/2006/relationships" r:embed="rId2"/>
        <a:stretch>
          <a:fillRect/>
        </a:stretch>
      </xdr:blipFill>
      <xdr:spPr>
        <a:xfrm>
          <a:off x="14325600" y="85725"/>
          <a:ext cx="5933333" cy="1819048"/>
        </a:xfrm>
        <a:prstGeom prst="rect">
          <a:avLst/>
        </a:prstGeom>
      </xdr:spPr>
    </xdr:pic>
    <xdr:clientData/>
  </xdr:twoCellAnchor>
  <xdr:twoCellAnchor editAs="oneCell">
    <xdr:from>
      <xdr:col>21</xdr:col>
      <xdr:colOff>167739</xdr:colOff>
      <xdr:row>11</xdr:row>
      <xdr:rowOff>47624</xdr:rowOff>
    </xdr:from>
    <xdr:to>
      <xdr:col>29</xdr:col>
      <xdr:colOff>580132</xdr:colOff>
      <xdr:row>36</xdr:row>
      <xdr:rowOff>142211</xdr:rowOff>
    </xdr:to>
    <xdr:pic>
      <xdr:nvPicPr>
        <xdr:cNvPr id="4" name="图片 3">
          <a:extLst>
            <a:ext uri="{FF2B5EF4-FFF2-40B4-BE49-F238E27FC236}">
              <a16:creationId xmlns:a16="http://schemas.microsoft.com/office/drawing/2014/main" id="{EAF7789E-3B57-0D6A-20A0-F71FEDE428A0}"/>
            </a:ext>
          </a:extLst>
        </xdr:cNvPr>
        <xdr:cNvPicPr>
          <a:picLocks noChangeAspect="1"/>
        </xdr:cNvPicPr>
      </xdr:nvPicPr>
      <xdr:blipFill>
        <a:blip xmlns:r="http://schemas.openxmlformats.org/officeDocument/2006/relationships" r:embed="rId3"/>
        <a:stretch>
          <a:fillRect/>
        </a:stretch>
      </xdr:blipFill>
      <xdr:spPr>
        <a:xfrm>
          <a:off x="14569539" y="1933574"/>
          <a:ext cx="5898793" cy="43808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7</xdr:col>
      <xdr:colOff>351814</xdr:colOff>
      <xdr:row>13</xdr:row>
      <xdr:rowOff>123531</xdr:rowOff>
    </xdr:to>
    <xdr:pic>
      <xdr:nvPicPr>
        <xdr:cNvPr id="2" name="图片 1">
          <a:extLst>
            <a:ext uri="{FF2B5EF4-FFF2-40B4-BE49-F238E27FC236}">
              <a16:creationId xmlns:a16="http://schemas.microsoft.com/office/drawing/2014/main" id="{115F8771-A461-DF08-2158-F2BB687E8F9A}"/>
            </a:ext>
          </a:extLst>
        </xdr:cNvPr>
        <xdr:cNvPicPr>
          <a:picLocks noChangeAspect="1"/>
        </xdr:cNvPicPr>
      </xdr:nvPicPr>
      <xdr:blipFill>
        <a:blip xmlns:r="http://schemas.openxmlformats.org/officeDocument/2006/relationships" r:embed="rId1"/>
        <a:stretch>
          <a:fillRect/>
        </a:stretch>
      </xdr:blipFill>
      <xdr:spPr>
        <a:xfrm>
          <a:off x="266700" y="0"/>
          <a:ext cx="4885714" cy="2352381"/>
        </a:xfrm>
        <a:prstGeom prst="rect">
          <a:avLst/>
        </a:prstGeom>
      </xdr:spPr>
    </xdr:pic>
    <xdr:clientData/>
  </xdr:twoCellAnchor>
  <xdr:twoCellAnchor editAs="oneCell">
    <xdr:from>
      <xdr:col>9</xdr:col>
      <xdr:colOff>485775</xdr:colOff>
      <xdr:row>0</xdr:row>
      <xdr:rowOff>0</xdr:rowOff>
    </xdr:from>
    <xdr:to>
      <xdr:col>19</xdr:col>
      <xdr:colOff>455749</xdr:colOff>
      <xdr:row>34</xdr:row>
      <xdr:rowOff>63258</xdr:rowOff>
    </xdr:to>
    <xdr:pic>
      <xdr:nvPicPr>
        <xdr:cNvPr id="3" name="图片 2">
          <a:extLst>
            <a:ext uri="{FF2B5EF4-FFF2-40B4-BE49-F238E27FC236}">
              <a16:creationId xmlns:a16="http://schemas.microsoft.com/office/drawing/2014/main" id="{74D81FE2-B470-780F-B217-32BEB6FC47C0}"/>
            </a:ext>
          </a:extLst>
        </xdr:cNvPr>
        <xdr:cNvPicPr>
          <a:picLocks noChangeAspect="1"/>
        </xdr:cNvPicPr>
      </xdr:nvPicPr>
      <xdr:blipFill>
        <a:blip xmlns:r="http://schemas.openxmlformats.org/officeDocument/2006/relationships" r:embed="rId2"/>
        <a:stretch>
          <a:fillRect/>
        </a:stretch>
      </xdr:blipFill>
      <xdr:spPr>
        <a:xfrm>
          <a:off x="6657975" y="0"/>
          <a:ext cx="6827974" cy="5892558"/>
        </a:xfrm>
        <a:prstGeom prst="rect">
          <a:avLst/>
        </a:prstGeom>
      </xdr:spPr>
    </xdr:pic>
    <xdr:clientData/>
  </xdr:twoCellAnchor>
  <xdr:twoCellAnchor editAs="oneCell">
    <xdr:from>
      <xdr:col>0</xdr:col>
      <xdr:colOff>0</xdr:colOff>
      <xdr:row>14</xdr:row>
      <xdr:rowOff>65337</xdr:rowOff>
    </xdr:from>
    <xdr:to>
      <xdr:col>9</xdr:col>
      <xdr:colOff>533400</xdr:colOff>
      <xdr:row>27</xdr:row>
      <xdr:rowOff>123526</xdr:rowOff>
    </xdr:to>
    <xdr:pic>
      <xdr:nvPicPr>
        <xdr:cNvPr id="4" name="图片 3">
          <a:extLst>
            <a:ext uri="{FF2B5EF4-FFF2-40B4-BE49-F238E27FC236}">
              <a16:creationId xmlns:a16="http://schemas.microsoft.com/office/drawing/2014/main" id="{FF13FAC7-6CE2-3752-5F12-2493021175D1}"/>
            </a:ext>
          </a:extLst>
        </xdr:cNvPr>
        <xdr:cNvPicPr>
          <a:picLocks noChangeAspect="1"/>
        </xdr:cNvPicPr>
      </xdr:nvPicPr>
      <xdr:blipFill>
        <a:blip xmlns:r="http://schemas.openxmlformats.org/officeDocument/2006/relationships" r:embed="rId3"/>
        <a:stretch>
          <a:fillRect/>
        </a:stretch>
      </xdr:blipFill>
      <xdr:spPr>
        <a:xfrm>
          <a:off x="0" y="2465637"/>
          <a:ext cx="6705600" cy="2287039"/>
        </a:xfrm>
        <a:prstGeom prst="rect">
          <a:avLst/>
        </a:prstGeom>
      </xdr:spPr>
    </xdr:pic>
    <xdr:clientData/>
  </xdr:twoCellAnchor>
  <xdr:twoCellAnchor editAs="oneCell">
    <xdr:from>
      <xdr:col>0</xdr:col>
      <xdr:colOff>104775</xdr:colOff>
      <xdr:row>27</xdr:row>
      <xdr:rowOff>57150</xdr:rowOff>
    </xdr:from>
    <xdr:to>
      <xdr:col>9</xdr:col>
      <xdr:colOff>372455</xdr:colOff>
      <xdr:row>63</xdr:row>
      <xdr:rowOff>75284</xdr:rowOff>
    </xdr:to>
    <xdr:pic>
      <xdr:nvPicPr>
        <xdr:cNvPr id="5" name="图片 4">
          <a:extLst>
            <a:ext uri="{FF2B5EF4-FFF2-40B4-BE49-F238E27FC236}">
              <a16:creationId xmlns:a16="http://schemas.microsoft.com/office/drawing/2014/main" id="{06707141-1DE4-79EF-5CA7-0972E75E5624}"/>
            </a:ext>
          </a:extLst>
        </xdr:cNvPr>
        <xdr:cNvPicPr>
          <a:picLocks noChangeAspect="1"/>
        </xdr:cNvPicPr>
      </xdr:nvPicPr>
      <xdr:blipFill>
        <a:blip xmlns:r="http://schemas.openxmlformats.org/officeDocument/2006/relationships" r:embed="rId4"/>
        <a:stretch>
          <a:fillRect/>
        </a:stretch>
      </xdr:blipFill>
      <xdr:spPr>
        <a:xfrm>
          <a:off x="104775" y="4686300"/>
          <a:ext cx="6439880" cy="6190334"/>
        </a:xfrm>
        <a:prstGeom prst="rect">
          <a:avLst/>
        </a:prstGeom>
      </xdr:spPr>
    </xdr:pic>
    <xdr:clientData/>
  </xdr:twoCellAnchor>
  <xdr:twoCellAnchor editAs="oneCell">
    <xdr:from>
      <xdr:col>26</xdr:col>
      <xdr:colOff>200025</xdr:colOff>
      <xdr:row>0</xdr:row>
      <xdr:rowOff>0</xdr:rowOff>
    </xdr:from>
    <xdr:to>
      <xdr:col>34</xdr:col>
      <xdr:colOff>236984</xdr:colOff>
      <xdr:row>28</xdr:row>
      <xdr:rowOff>19367</xdr:rowOff>
    </xdr:to>
    <xdr:pic>
      <xdr:nvPicPr>
        <xdr:cNvPr id="6" name="图片 5">
          <a:extLst>
            <a:ext uri="{FF2B5EF4-FFF2-40B4-BE49-F238E27FC236}">
              <a16:creationId xmlns:a16="http://schemas.microsoft.com/office/drawing/2014/main" id="{4671C872-8A1F-860D-55AA-6A0B3498AA75}"/>
            </a:ext>
          </a:extLst>
        </xdr:cNvPr>
        <xdr:cNvPicPr>
          <a:picLocks noChangeAspect="1"/>
        </xdr:cNvPicPr>
      </xdr:nvPicPr>
      <xdr:blipFill>
        <a:blip xmlns:r="http://schemas.openxmlformats.org/officeDocument/2006/relationships" r:embed="rId5"/>
        <a:stretch>
          <a:fillRect/>
        </a:stretch>
      </xdr:blipFill>
      <xdr:spPr>
        <a:xfrm>
          <a:off x="18030825" y="0"/>
          <a:ext cx="5523359" cy="4819967"/>
        </a:xfrm>
        <a:prstGeom prst="rect">
          <a:avLst/>
        </a:prstGeom>
      </xdr:spPr>
    </xdr:pic>
    <xdr:clientData/>
  </xdr:twoCellAnchor>
  <xdr:twoCellAnchor editAs="oneCell">
    <xdr:from>
      <xdr:col>9</xdr:col>
      <xdr:colOff>300996</xdr:colOff>
      <xdr:row>34</xdr:row>
      <xdr:rowOff>19050</xdr:rowOff>
    </xdr:from>
    <xdr:to>
      <xdr:col>18</xdr:col>
      <xdr:colOff>8031</xdr:colOff>
      <xdr:row>61</xdr:row>
      <xdr:rowOff>46442</xdr:rowOff>
    </xdr:to>
    <xdr:pic>
      <xdr:nvPicPr>
        <xdr:cNvPr id="7" name="图片 6">
          <a:extLst>
            <a:ext uri="{FF2B5EF4-FFF2-40B4-BE49-F238E27FC236}">
              <a16:creationId xmlns:a16="http://schemas.microsoft.com/office/drawing/2014/main" id="{E81A4F2A-F7D5-2FFA-794D-D8B8B47C27D9}"/>
            </a:ext>
          </a:extLst>
        </xdr:cNvPr>
        <xdr:cNvPicPr>
          <a:picLocks noChangeAspect="1"/>
        </xdr:cNvPicPr>
      </xdr:nvPicPr>
      <xdr:blipFill>
        <a:blip xmlns:r="http://schemas.openxmlformats.org/officeDocument/2006/relationships" r:embed="rId6"/>
        <a:stretch>
          <a:fillRect/>
        </a:stretch>
      </xdr:blipFill>
      <xdr:spPr>
        <a:xfrm>
          <a:off x="6473196" y="5848350"/>
          <a:ext cx="5879235" cy="4656542"/>
        </a:xfrm>
        <a:prstGeom prst="rect">
          <a:avLst/>
        </a:prstGeom>
      </xdr:spPr>
    </xdr:pic>
    <xdr:clientData/>
  </xdr:twoCellAnchor>
  <xdr:twoCellAnchor editAs="oneCell">
    <xdr:from>
      <xdr:col>26</xdr:col>
      <xdr:colOff>504825</xdr:colOff>
      <xdr:row>27</xdr:row>
      <xdr:rowOff>65221</xdr:rowOff>
    </xdr:from>
    <xdr:to>
      <xdr:col>33</xdr:col>
      <xdr:colOff>560851</xdr:colOff>
      <xdr:row>45</xdr:row>
      <xdr:rowOff>65960</xdr:rowOff>
    </xdr:to>
    <xdr:pic>
      <xdr:nvPicPr>
        <xdr:cNvPr id="8" name="图片 7">
          <a:extLst>
            <a:ext uri="{FF2B5EF4-FFF2-40B4-BE49-F238E27FC236}">
              <a16:creationId xmlns:a16="http://schemas.microsoft.com/office/drawing/2014/main" id="{8B50C633-8E9E-E40C-453B-54D159C49016}"/>
            </a:ext>
          </a:extLst>
        </xdr:cNvPr>
        <xdr:cNvPicPr>
          <a:picLocks noChangeAspect="1"/>
        </xdr:cNvPicPr>
      </xdr:nvPicPr>
      <xdr:blipFill>
        <a:blip xmlns:r="http://schemas.openxmlformats.org/officeDocument/2006/relationships" r:embed="rId7"/>
        <a:stretch>
          <a:fillRect/>
        </a:stretch>
      </xdr:blipFill>
      <xdr:spPr>
        <a:xfrm>
          <a:off x="18335625" y="4694371"/>
          <a:ext cx="4856626" cy="3086839"/>
        </a:xfrm>
        <a:prstGeom prst="rect">
          <a:avLst/>
        </a:prstGeom>
      </xdr:spPr>
    </xdr:pic>
    <xdr:clientData/>
  </xdr:twoCellAnchor>
  <xdr:twoCellAnchor editAs="oneCell">
    <xdr:from>
      <xdr:col>27</xdr:col>
      <xdr:colOff>0</xdr:colOff>
      <xdr:row>46</xdr:row>
      <xdr:rowOff>0</xdr:rowOff>
    </xdr:from>
    <xdr:to>
      <xdr:col>36</xdr:col>
      <xdr:colOff>313514</xdr:colOff>
      <xdr:row>79</xdr:row>
      <xdr:rowOff>94531</xdr:rowOff>
    </xdr:to>
    <xdr:pic>
      <xdr:nvPicPr>
        <xdr:cNvPr id="9" name="图片 8">
          <a:extLst>
            <a:ext uri="{FF2B5EF4-FFF2-40B4-BE49-F238E27FC236}">
              <a16:creationId xmlns:a16="http://schemas.microsoft.com/office/drawing/2014/main" id="{285DDCAE-51B3-1912-650C-6E22998160EA}"/>
            </a:ext>
          </a:extLst>
        </xdr:cNvPr>
        <xdr:cNvPicPr>
          <a:picLocks noChangeAspect="1"/>
        </xdr:cNvPicPr>
      </xdr:nvPicPr>
      <xdr:blipFill>
        <a:blip xmlns:r="http://schemas.openxmlformats.org/officeDocument/2006/relationships" r:embed="rId8"/>
        <a:stretch>
          <a:fillRect/>
        </a:stretch>
      </xdr:blipFill>
      <xdr:spPr>
        <a:xfrm>
          <a:off x="19021425" y="7886700"/>
          <a:ext cx="6485714" cy="5752381"/>
        </a:xfrm>
        <a:prstGeom prst="rect">
          <a:avLst/>
        </a:prstGeom>
      </xdr:spPr>
    </xdr:pic>
    <xdr:clientData/>
  </xdr:twoCellAnchor>
  <xdr:twoCellAnchor editAs="oneCell">
    <xdr:from>
      <xdr:col>27</xdr:col>
      <xdr:colOff>304800</xdr:colOff>
      <xdr:row>68</xdr:row>
      <xdr:rowOff>161925</xdr:rowOff>
    </xdr:from>
    <xdr:to>
      <xdr:col>37</xdr:col>
      <xdr:colOff>294419</xdr:colOff>
      <xdr:row>81</xdr:row>
      <xdr:rowOff>123551</xdr:rowOff>
    </xdr:to>
    <xdr:pic>
      <xdr:nvPicPr>
        <xdr:cNvPr id="10" name="图片 9">
          <a:extLst>
            <a:ext uri="{FF2B5EF4-FFF2-40B4-BE49-F238E27FC236}">
              <a16:creationId xmlns:a16="http://schemas.microsoft.com/office/drawing/2014/main" id="{949E6BFC-44D8-B597-65FD-6CC744188FD0}"/>
            </a:ext>
          </a:extLst>
        </xdr:cNvPr>
        <xdr:cNvPicPr>
          <a:picLocks noChangeAspect="1"/>
        </xdr:cNvPicPr>
      </xdr:nvPicPr>
      <xdr:blipFill>
        <a:blip xmlns:r="http://schemas.openxmlformats.org/officeDocument/2006/relationships" r:embed="rId9"/>
        <a:stretch>
          <a:fillRect/>
        </a:stretch>
      </xdr:blipFill>
      <xdr:spPr>
        <a:xfrm>
          <a:off x="19326225" y="11820525"/>
          <a:ext cx="6847619" cy="2190476"/>
        </a:xfrm>
        <a:prstGeom prst="rect">
          <a:avLst/>
        </a:prstGeom>
      </xdr:spPr>
    </xdr:pic>
    <xdr:clientData/>
  </xdr:twoCellAnchor>
  <xdr:twoCellAnchor editAs="oneCell">
    <xdr:from>
      <xdr:col>26</xdr:col>
      <xdr:colOff>247650</xdr:colOff>
      <xdr:row>54</xdr:row>
      <xdr:rowOff>133350</xdr:rowOff>
    </xdr:from>
    <xdr:to>
      <xdr:col>35</xdr:col>
      <xdr:colOff>523069</xdr:colOff>
      <xdr:row>92</xdr:row>
      <xdr:rowOff>132536</xdr:rowOff>
    </xdr:to>
    <xdr:pic>
      <xdr:nvPicPr>
        <xdr:cNvPr id="11" name="图片 10">
          <a:extLst>
            <a:ext uri="{FF2B5EF4-FFF2-40B4-BE49-F238E27FC236}">
              <a16:creationId xmlns:a16="http://schemas.microsoft.com/office/drawing/2014/main" id="{2E2455B3-10D9-1C77-0D09-AC86C485CBE1}"/>
            </a:ext>
          </a:extLst>
        </xdr:cNvPr>
        <xdr:cNvPicPr>
          <a:picLocks noChangeAspect="1"/>
        </xdr:cNvPicPr>
      </xdr:nvPicPr>
      <xdr:blipFill>
        <a:blip xmlns:r="http://schemas.openxmlformats.org/officeDocument/2006/relationships" r:embed="rId10"/>
        <a:stretch>
          <a:fillRect/>
        </a:stretch>
      </xdr:blipFill>
      <xdr:spPr>
        <a:xfrm>
          <a:off x="18583275" y="9391650"/>
          <a:ext cx="6447619" cy="6514286"/>
        </a:xfrm>
        <a:prstGeom prst="rect">
          <a:avLst/>
        </a:prstGeom>
      </xdr:spPr>
    </xdr:pic>
    <xdr:clientData/>
  </xdr:twoCellAnchor>
  <xdr:twoCellAnchor editAs="oneCell">
    <xdr:from>
      <xdr:col>9</xdr:col>
      <xdr:colOff>476552</xdr:colOff>
      <xdr:row>62</xdr:row>
      <xdr:rowOff>19049</xdr:rowOff>
    </xdr:from>
    <xdr:to>
      <xdr:col>17</xdr:col>
      <xdr:colOff>284562</xdr:colOff>
      <xdr:row>91</xdr:row>
      <xdr:rowOff>65548</xdr:rowOff>
    </xdr:to>
    <xdr:pic>
      <xdr:nvPicPr>
        <xdr:cNvPr id="12" name="图片 11">
          <a:extLst>
            <a:ext uri="{FF2B5EF4-FFF2-40B4-BE49-F238E27FC236}">
              <a16:creationId xmlns:a16="http://schemas.microsoft.com/office/drawing/2014/main" id="{49597233-2C14-E15C-AC62-9BA86DD9476F}"/>
            </a:ext>
          </a:extLst>
        </xdr:cNvPr>
        <xdr:cNvPicPr>
          <a:picLocks noChangeAspect="1"/>
        </xdr:cNvPicPr>
      </xdr:nvPicPr>
      <xdr:blipFill>
        <a:blip xmlns:r="http://schemas.openxmlformats.org/officeDocument/2006/relationships" r:embed="rId11"/>
        <a:stretch>
          <a:fillRect/>
        </a:stretch>
      </xdr:blipFill>
      <xdr:spPr>
        <a:xfrm>
          <a:off x="6648752" y="10648949"/>
          <a:ext cx="5294410" cy="5018549"/>
        </a:xfrm>
        <a:prstGeom prst="rect">
          <a:avLst/>
        </a:prstGeom>
      </xdr:spPr>
    </xdr:pic>
    <xdr:clientData/>
  </xdr:twoCellAnchor>
  <xdr:twoCellAnchor editAs="oneCell">
    <xdr:from>
      <xdr:col>26</xdr:col>
      <xdr:colOff>676275</xdr:colOff>
      <xdr:row>50</xdr:row>
      <xdr:rowOff>161925</xdr:rowOff>
    </xdr:from>
    <xdr:to>
      <xdr:col>36</xdr:col>
      <xdr:colOff>123037</xdr:colOff>
      <xdr:row>72</xdr:row>
      <xdr:rowOff>132882</xdr:rowOff>
    </xdr:to>
    <xdr:pic>
      <xdr:nvPicPr>
        <xdr:cNvPr id="13" name="图片 12">
          <a:extLst>
            <a:ext uri="{FF2B5EF4-FFF2-40B4-BE49-F238E27FC236}">
              <a16:creationId xmlns:a16="http://schemas.microsoft.com/office/drawing/2014/main" id="{B7309ABD-0C18-CB71-5401-88E44EF4A1B6}"/>
            </a:ext>
          </a:extLst>
        </xdr:cNvPr>
        <xdr:cNvPicPr>
          <a:picLocks noChangeAspect="1"/>
        </xdr:cNvPicPr>
      </xdr:nvPicPr>
      <xdr:blipFill>
        <a:blip xmlns:r="http://schemas.openxmlformats.org/officeDocument/2006/relationships" r:embed="rId12"/>
        <a:stretch>
          <a:fillRect/>
        </a:stretch>
      </xdr:blipFill>
      <xdr:spPr>
        <a:xfrm>
          <a:off x="19011900" y="8734425"/>
          <a:ext cx="6304762" cy="3742857"/>
        </a:xfrm>
        <a:prstGeom prst="rect">
          <a:avLst/>
        </a:prstGeom>
      </xdr:spPr>
    </xdr:pic>
    <xdr:clientData/>
  </xdr:twoCellAnchor>
  <xdr:twoCellAnchor editAs="oneCell">
    <xdr:from>
      <xdr:col>19</xdr:col>
      <xdr:colOff>495300</xdr:colOff>
      <xdr:row>36</xdr:row>
      <xdr:rowOff>114300</xdr:rowOff>
    </xdr:from>
    <xdr:to>
      <xdr:col>27</xdr:col>
      <xdr:colOff>161218</xdr:colOff>
      <xdr:row>41</xdr:row>
      <xdr:rowOff>133240</xdr:rowOff>
    </xdr:to>
    <xdr:pic>
      <xdr:nvPicPr>
        <xdr:cNvPr id="14" name="图片 13">
          <a:extLst>
            <a:ext uri="{FF2B5EF4-FFF2-40B4-BE49-F238E27FC236}">
              <a16:creationId xmlns:a16="http://schemas.microsoft.com/office/drawing/2014/main" id="{500BCAF9-AD9A-755C-7EDB-71FFA224D73D}"/>
            </a:ext>
          </a:extLst>
        </xdr:cNvPr>
        <xdr:cNvPicPr>
          <a:picLocks noChangeAspect="1"/>
        </xdr:cNvPicPr>
      </xdr:nvPicPr>
      <xdr:blipFill>
        <a:blip xmlns:r="http://schemas.openxmlformats.org/officeDocument/2006/relationships" r:embed="rId13"/>
        <a:stretch>
          <a:fillRect/>
        </a:stretch>
      </xdr:blipFill>
      <xdr:spPr>
        <a:xfrm>
          <a:off x="13525500" y="6286500"/>
          <a:ext cx="5657143" cy="876190"/>
        </a:xfrm>
        <a:prstGeom prst="rect">
          <a:avLst/>
        </a:prstGeom>
      </xdr:spPr>
    </xdr:pic>
    <xdr:clientData/>
  </xdr:twoCellAnchor>
  <xdr:twoCellAnchor editAs="oneCell">
    <xdr:from>
      <xdr:col>20</xdr:col>
      <xdr:colOff>228600</xdr:colOff>
      <xdr:row>41</xdr:row>
      <xdr:rowOff>76200</xdr:rowOff>
    </xdr:from>
    <xdr:to>
      <xdr:col>26</xdr:col>
      <xdr:colOff>437546</xdr:colOff>
      <xdr:row>48</xdr:row>
      <xdr:rowOff>114145</xdr:rowOff>
    </xdr:to>
    <xdr:pic>
      <xdr:nvPicPr>
        <xdr:cNvPr id="15" name="图片 14">
          <a:extLst>
            <a:ext uri="{FF2B5EF4-FFF2-40B4-BE49-F238E27FC236}">
              <a16:creationId xmlns:a16="http://schemas.microsoft.com/office/drawing/2014/main" id="{A81817AE-2DA4-00D1-80B9-B0C69B37B19B}"/>
            </a:ext>
          </a:extLst>
        </xdr:cNvPr>
        <xdr:cNvPicPr>
          <a:picLocks noChangeAspect="1"/>
        </xdr:cNvPicPr>
      </xdr:nvPicPr>
      <xdr:blipFill>
        <a:blip xmlns:r="http://schemas.openxmlformats.org/officeDocument/2006/relationships" r:embed="rId14"/>
        <a:stretch>
          <a:fillRect/>
        </a:stretch>
      </xdr:blipFill>
      <xdr:spPr>
        <a:xfrm>
          <a:off x="13944600" y="7105650"/>
          <a:ext cx="4828571" cy="1238095"/>
        </a:xfrm>
        <a:prstGeom prst="rect">
          <a:avLst/>
        </a:prstGeom>
      </xdr:spPr>
    </xdr:pic>
    <xdr:clientData/>
  </xdr:twoCellAnchor>
  <xdr:twoCellAnchor editAs="oneCell">
    <xdr:from>
      <xdr:col>18</xdr:col>
      <xdr:colOff>676275</xdr:colOff>
      <xdr:row>50</xdr:row>
      <xdr:rowOff>11193</xdr:rowOff>
    </xdr:from>
    <xdr:to>
      <xdr:col>26</xdr:col>
      <xdr:colOff>151557</xdr:colOff>
      <xdr:row>57</xdr:row>
      <xdr:rowOff>123623</xdr:rowOff>
    </xdr:to>
    <xdr:pic>
      <xdr:nvPicPr>
        <xdr:cNvPr id="16" name="图片 15">
          <a:extLst>
            <a:ext uri="{FF2B5EF4-FFF2-40B4-BE49-F238E27FC236}">
              <a16:creationId xmlns:a16="http://schemas.microsoft.com/office/drawing/2014/main" id="{6E8DBE0F-347C-5F79-C06B-261CCD7D3847}"/>
            </a:ext>
          </a:extLst>
        </xdr:cNvPr>
        <xdr:cNvPicPr>
          <a:picLocks noChangeAspect="1"/>
        </xdr:cNvPicPr>
      </xdr:nvPicPr>
      <xdr:blipFill>
        <a:blip xmlns:r="http://schemas.openxmlformats.org/officeDocument/2006/relationships" r:embed="rId15"/>
        <a:stretch>
          <a:fillRect/>
        </a:stretch>
      </xdr:blipFill>
      <xdr:spPr>
        <a:xfrm>
          <a:off x="13020675" y="8583693"/>
          <a:ext cx="5466507" cy="131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4.xml"/><Relationship Id="rId4" Type="http://schemas.openxmlformats.org/officeDocument/2006/relationships/hyperlink" Target="https://shangye.lianjia.com/bj/sp_buy/101117263748.html?tags=%E8%BF%91%E5%9C%B0%E9%93%81"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2025年8月11日（评估专业人员实地查勘之日）</v>
      </c>
    </row>
    <row r="13" spans="1:2">
      <c r="A13" s="1119" t="s">
        <v>529</v>
      </c>
      <c r="B13" s="1120" t="str">
        <f>'预评函-1'!A18</f>
        <v>本次估价的“房地产价值”是指在正常市场情况下，在价值时点2025年8月11日，估价对象规划用途为，土地取得方式为划拨，假定未设立法定优先受偿款下的房地产市场价值。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6"/>
      <c r="B54" s="1447" t="s">
        <v>385</v>
      </c>
      <c r="C54" s="1445" t="s">
        <v>583</v>
      </c>
    </row>
    <row r="55" spans="1:4">
      <c r="A55" s="3326"/>
      <c r="B55" s="1447" t="s">
        <v>386</v>
      </c>
      <c r="C55" s="1445" t="s">
        <v>584</v>
      </c>
    </row>
    <row r="56" spans="1:4">
      <c r="A56" s="3326"/>
      <c r="B56" s="1447" t="s">
        <v>387</v>
      </c>
      <c r="C56" s="1445" t="s">
        <v>588</v>
      </c>
    </row>
    <row r="57" spans="1:4">
      <c r="A57" s="33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27" t="s">
        <v>2578</v>
      </c>
      <c r="J2" s="3327"/>
      <c r="K2" s="3327"/>
      <c r="L2" s="3327"/>
      <c r="M2" s="3327"/>
      <c r="N2" s="3327"/>
      <c r="O2" s="3327"/>
      <c r="P2" s="3327"/>
      <c r="Q2" s="3327"/>
      <c r="R2" s="3327"/>
    </row>
    <row r="3" spans="1:18">
      <c r="A3" s="2762" t="s">
        <v>2499</v>
      </c>
      <c r="B3" s="2763">
        <f>项目基本情况!D3</f>
        <v>45880</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1.35</v>
      </c>
      <c r="D5" s="2767">
        <f>IF(ISERROR(ROUND(POWER(1+E5,A5-C5)*(POWER(1+E5,C5)-1)/(POWER(1+E5,A5)-1),3)),0,ROUND(POWER(1+E5,A5-C5)*(POWER(1+E5,C5)-1)/(POWER(1+E5,A5)-1),4))</f>
        <v>6.5100000000000005E-2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11.36</v>
      </c>
      <c r="D6" s="2767">
        <f>IF(ISERROR(ROUND(POWER(1+E6,A6-C6)*(POWER(1+E6,C6)-1)/(POWER(1+E6,A6)-1),3)),0,ROUND(POWER(1+E6,A6-C6)*(POWER(1+E6,C6)-1)/(POWER(1+E6,A6)-1),4))</f>
        <v>0.41839999999999999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31.37</v>
      </c>
      <c r="D7" s="2767">
        <f>IF(ISERROR(ROUND(POWER(1+E7,A7-C7)*(POWER(1+E7,C7)-1)/(POWER(1+E7,A7)-1),3)),0,ROUND(POWER(1+E7,A7-C7)*(POWER(1+E7,C7)-1)/(POWER(1+E7,A7)-1),4))</f>
        <v>0.75639999999999996</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5" sqref="D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28" t="str">
        <f>IF(B10="北京市","北京市",C10)&amp;F10&amp;IF(结果表!G1="在建","出让国有建设用地使用权及在建建筑物",IF(结果表!G1="土地","出让国有建设用地使用权",))&amp;B9&amp;"预评估"</f>
        <v>北京市房地产市场价值预评估</v>
      </c>
      <c r="C1" s="3329"/>
      <c r="D1" s="3329"/>
      <c r="E1" s="3329"/>
      <c r="F1" s="3329"/>
      <c r="G1" s="3329"/>
      <c r="H1" s="3329"/>
      <c r="I1" s="333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45880</v>
      </c>
      <c r="C3" s="2186" t="s">
        <v>2171</v>
      </c>
      <c r="D3" s="2185">
        <f>B3</f>
        <v>45880</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31"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32"/>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38"/>
      <c r="C16" s="3339"/>
      <c r="D16" s="3340"/>
      <c r="E16" s="2222" t="s">
        <v>2194</v>
      </c>
      <c r="F16" s="3341"/>
      <c r="G16" s="3342"/>
      <c r="H16" s="3342"/>
      <c r="I16" s="3343"/>
      <c r="J16" s="2245"/>
      <c r="K16" s="2402"/>
      <c r="L16" s="1670"/>
      <c r="M16" s="1670"/>
      <c r="N16" s="2245"/>
      <c r="O16" s="1670"/>
      <c r="P16" s="2245"/>
      <c r="Q16" s="2245"/>
      <c r="R16" s="2245"/>
    </row>
    <row r="17" spans="1:28">
      <c r="A17" s="305" t="s">
        <v>2195</v>
      </c>
      <c r="B17" s="294" t="s">
        <v>2196</v>
      </c>
      <c r="C17" s="8">
        <f>'数据-汇总表'!E3</f>
        <v>30</v>
      </c>
      <c r="D17" s="1256" t="s">
        <v>2197</v>
      </c>
      <c r="E17" s="3344" t="s">
        <v>2198</v>
      </c>
      <c r="F17" s="3345"/>
      <c r="G17" s="3345"/>
      <c r="H17" s="3345"/>
      <c r="I17" s="3346"/>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47" t="s">
        <v>2202</v>
      </c>
      <c r="F18" s="3348"/>
      <c r="G18" s="3348"/>
      <c r="H18" s="3348"/>
      <c r="I18" s="3349"/>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34" t="s">
        <v>2206</v>
      </c>
      <c r="C20" s="3335"/>
      <c r="D20" s="3336" t="s">
        <v>2207</v>
      </c>
      <c r="E20" s="3337"/>
      <c r="F20" s="2429" t="s">
        <v>1056</v>
      </c>
      <c r="G20" s="2441"/>
      <c r="H20" s="2441"/>
      <c r="I20" s="2441"/>
      <c r="J20" s="2245"/>
      <c r="K20" s="33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51"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51"/>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51"/>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52"/>
      <c r="B30" s="294" t="s">
        <v>2218</v>
      </c>
      <c r="C30" s="3353"/>
      <c r="D30" s="3354"/>
      <c r="E30" s="2441"/>
      <c r="F30" s="2441"/>
      <c r="G30" s="2441"/>
      <c r="H30" s="2441"/>
      <c r="I30" s="2441"/>
      <c r="J30" s="2245"/>
      <c r="K30" s="2401"/>
      <c r="L30" s="2398"/>
      <c r="M30" s="2398"/>
      <c r="N30" s="2245"/>
      <c r="O30" s="1670"/>
      <c r="P30" s="2245"/>
      <c r="Q30" s="2245"/>
      <c r="R30" s="2245"/>
      <c r="S30" s="2245"/>
      <c r="T30" s="2245"/>
      <c r="U30" s="2245"/>
      <c r="V30" s="2245"/>
    </row>
    <row r="31" spans="1:28">
      <c r="A31" s="3355"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56"/>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56"/>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50" t="s">
        <v>2228</v>
      </c>
      <c r="T34" s="315" t="str">
        <f>NUMBERSTRING(7-K34,1)&amp;"通"</f>
        <v>七通</v>
      </c>
      <c r="U34" s="2245"/>
      <c r="V34" s="2245"/>
    </row>
    <row r="35" spans="1:30">
      <c r="A35" s="2236"/>
      <c r="B35" s="3350" t="s">
        <v>2229</v>
      </c>
      <c r="C35" s="3350"/>
      <c r="D35" s="3350"/>
      <c r="E35" s="3350"/>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50"/>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66" t="s">
        <v>1131</v>
      </c>
      <c r="B2" s="3366"/>
      <c r="C2" s="3366"/>
      <c r="D2" s="748" t="s">
        <v>1107</v>
      </c>
      <c r="E2" s="1523" t="s">
        <v>1108</v>
      </c>
      <c r="F2" s="2438"/>
      <c r="G2" s="2431"/>
      <c r="H2" s="2432"/>
      <c r="I2" s="2146" t="s">
        <v>1132</v>
      </c>
      <c r="J2" s="2438"/>
      <c r="K2" s="2438"/>
      <c r="L2" s="2438"/>
      <c r="M2" s="2438"/>
      <c r="N2" s="2439"/>
      <c r="O2" s="2438"/>
      <c r="P2" s="2438"/>
    </row>
    <row r="3" spans="1:16" ht="15.75" thickBot="1">
      <c r="A3" s="3367" t="s">
        <v>1105</v>
      </c>
      <c r="B3" s="3367"/>
      <c r="C3" s="3367"/>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68"/>
      <c r="B4" s="3369"/>
      <c r="C4" s="337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71" t="s">
        <v>1110</v>
      </c>
      <c r="C5" s="337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71" t="s">
        <v>1111</v>
      </c>
      <c r="C6" s="3371"/>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63"/>
      <c r="B7" s="3364"/>
      <c r="C7" s="3365"/>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60" t="s">
        <v>1135</v>
      </c>
      <c r="L16" s="3361"/>
      <c r="M16" s="3361"/>
      <c r="N16" s="3361"/>
      <c r="O16" s="3361"/>
      <c r="P16" s="3362"/>
    </row>
    <row r="17" spans="1:19" ht="15">
      <c r="A17" s="1533" t="s">
        <v>1136</v>
      </c>
      <c r="B17" s="1534" t="s">
        <v>1137</v>
      </c>
      <c r="C17" s="1535" t="s">
        <v>1138</v>
      </c>
      <c r="D17" s="1536" t="s">
        <v>1126</v>
      </c>
      <c r="E17" s="1537" t="s">
        <v>1127</v>
      </c>
      <c r="F17" s="1538"/>
      <c r="G17" s="1539"/>
      <c r="H17" s="1540" t="s">
        <v>1139</v>
      </c>
      <c r="I17" s="1541" t="s">
        <v>1124</v>
      </c>
      <c r="J17" s="1071"/>
      <c r="K17" s="3357" t="s">
        <v>1140</v>
      </c>
      <c r="L17" s="3358"/>
      <c r="M17" s="3359"/>
      <c r="N17" s="3357" t="s">
        <v>1141</v>
      </c>
      <c r="O17" s="3358"/>
      <c r="P17" s="33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45880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72" t="s">
        <v>2284</v>
      </c>
      <c r="B1" s="3373"/>
      <c r="C1" s="3373"/>
      <c r="D1" s="3373"/>
      <c r="E1" s="3373"/>
      <c r="F1" s="3373"/>
      <c r="G1" s="337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2"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66" t="s">
        <v>3976</v>
      </c>
      <c r="D6" s="2265"/>
      <c r="E6" s="2269"/>
      <c r="F6" s="315" t="s">
        <v>2263</v>
      </c>
      <c r="G6" s="2270" t="s">
        <v>2264</v>
      </c>
      <c r="H6" s="751"/>
      <c r="I6" s="751"/>
      <c r="J6" s="751"/>
      <c r="K6" s="751"/>
      <c r="L6" s="751"/>
      <c r="M6" s="751"/>
      <c r="N6" s="751"/>
      <c r="O6" s="751"/>
      <c r="P6" s="751"/>
      <c r="Q6" s="751"/>
    </row>
    <row r="7" spans="1:29" ht="108.75" thickBot="1">
      <c r="A7" s="2248"/>
      <c r="B7" s="315" t="s">
        <v>2260</v>
      </c>
      <c r="C7" s="3266" t="s">
        <v>3972</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70" t="s">
        <v>3971</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1264.4399999999998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45880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531.06479999999988</v>
      </c>
      <c r="C5" s="2299" t="e">
        <f ca="1">IF(B5=D14,结果表!H102,ROUND(B5*10000/$B$1,0))</f>
        <v>#REF!</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507673</v>
      </c>
      <c r="C10" s="2299" t="s">
        <v>3352</v>
      </c>
      <c r="D10" s="2299" t="s">
        <v>3353</v>
      </c>
      <c r="E10" s="3136">
        <v>660</v>
      </c>
      <c r="F10" s="3140" t="s">
        <v>3354</v>
      </c>
      <c r="G10" s="3137">
        <v>0.06</v>
      </c>
      <c r="H10" s="2462"/>
      <c r="I10" s="2462"/>
      <c r="J10" s="2462"/>
      <c r="K10" s="2462"/>
    </row>
    <row r="11" spans="1:11" ht="16.5">
      <c r="A11" s="2299" t="s">
        <v>670</v>
      </c>
      <c r="B11" s="1244">
        <f>D14</f>
        <v>531.06479999999988</v>
      </c>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房源表!H45</f>
        <v>1264.4399999999998</v>
      </c>
      <c r="C14" s="2305"/>
      <c r="D14" s="2305">
        <f>E14*B14/10000</f>
        <v>531.06479999999988</v>
      </c>
      <c r="E14" s="2305">
        <v>4200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41" t="str">
        <f>项目基本情况!S2</f>
        <v>北京市房地产</v>
      </c>
      <c r="B2" s="3442"/>
      <c r="C2" s="3442"/>
      <c r="D2" s="3442"/>
      <c r="E2" s="3442"/>
      <c r="F2" s="3442"/>
      <c r="G2" s="3442"/>
      <c r="H2" s="3442"/>
      <c r="I2" s="3443"/>
    </row>
    <row r="3" spans="1:12" ht="12.75">
      <c r="A3" s="3445" t="s">
        <v>1264</v>
      </c>
      <c r="B3" s="3446"/>
      <c r="C3" s="3446"/>
      <c r="D3" s="3446"/>
      <c r="E3" s="3446"/>
      <c r="F3" s="3446"/>
      <c r="G3" s="3446"/>
      <c r="H3" s="3446"/>
      <c r="I3" s="3446"/>
    </row>
    <row r="4" spans="1:12" ht="14.25">
      <c r="A4" s="1624" t="s">
        <v>1265</v>
      </c>
      <c r="B4" s="1625" t="s">
        <v>1266</v>
      </c>
      <c r="C4" s="1626"/>
      <c r="D4" s="1626"/>
      <c r="E4" s="3450" t="s">
        <v>1267</v>
      </c>
      <c r="F4" s="3451"/>
      <c r="G4" s="3451"/>
      <c r="H4" s="3451"/>
      <c r="I4" s="345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9" t="s">
        <v>1268</v>
      </c>
      <c r="B5" s="3444">
        <v>25</v>
      </c>
      <c r="C5" s="3447"/>
      <c r="D5" s="3435"/>
      <c r="E5" s="123" t="s">
        <v>1269</v>
      </c>
      <c r="F5" s="1627"/>
      <c r="G5" s="1627"/>
      <c r="H5" s="1627"/>
      <c r="I5" s="1281"/>
    </row>
    <row r="6" spans="1:12" ht="12.75">
      <c r="A6" s="3389"/>
      <c r="B6" s="3444"/>
      <c r="C6" s="3449"/>
      <c r="D6" s="3435"/>
      <c r="E6" s="123" t="s">
        <v>1270</v>
      </c>
      <c r="F6" s="1627"/>
      <c r="G6" s="1627"/>
      <c r="H6" s="1627"/>
      <c r="I6" s="1281"/>
    </row>
    <row r="7" spans="1:12" ht="12.75">
      <c r="A7" s="3389"/>
      <c r="B7" s="3444"/>
      <c r="C7" s="3448"/>
      <c r="D7" s="3435"/>
      <c r="E7" s="123" t="s">
        <v>1271</v>
      </c>
      <c r="F7" s="1627"/>
      <c r="G7" s="1627"/>
      <c r="H7" s="1627"/>
      <c r="I7" s="1281"/>
    </row>
    <row r="8" spans="1:12" ht="12.75">
      <c r="A8" s="3389" t="s">
        <v>1272</v>
      </c>
      <c r="B8" s="3444">
        <v>15</v>
      </c>
      <c r="C8" s="3447"/>
      <c r="D8" s="3435"/>
      <c r="E8" s="123" t="s">
        <v>1273</v>
      </c>
      <c r="F8" s="1627"/>
      <c r="G8" s="1627"/>
      <c r="H8" s="1627"/>
      <c r="I8" s="1281"/>
    </row>
    <row r="9" spans="1:12" ht="12.75">
      <c r="A9" s="3389"/>
      <c r="B9" s="3444"/>
      <c r="C9" s="3448"/>
      <c r="D9" s="3435"/>
      <c r="E9" s="123" t="s">
        <v>1274</v>
      </c>
      <c r="F9" s="1627"/>
      <c r="G9" s="1627"/>
      <c r="H9" s="1627"/>
      <c r="I9" s="1281"/>
    </row>
    <row r="10" spans="1:12" ht="12.75">
      <c r="A10" s="3389" t="s">
        <v>1275</v>
      </c>
      <c r="B10" s="3444">
        <v>15</v>
      </c>
      <c r="C10" s="3447"/>
      <c r="D10" s="3435"/>
      <c r="E10" s="123" t="s">
        <v>1276</v>
      </c>
      <c r="F10" s="1627"/>
      <c r="G10" s="1627"/>
      <c r="H10" s="1627"/>
      <c r="I10" s="1281"/>
    </row>
    <row r="11" spans="1:12" ht="12.75">
      <c r="A11" s="3389"/>
      <c r="B11" s="3444"/>
      <c r="C11" s="3448"/>
      <c r="D11" s="3435"/>
      <c r="E11" s="123" t="s">
        <v>1277</v>
      </c>
      <c r="F11" s="1627"/>
      <c r="G11" s="1627"/>
      <c r="H11" s="1627"/>
      <c r="I11" s="1281"/>
    </row>
    <row r="12" spans="1:12" ht="12.75">
      <c r="A12" s="3389" t="s">
        <v>1278</v>
      </c>
      <c r="B12" s="3444">
        <v>15</v>
      </c>
      <c r="C12" s="3447"/>
      <c r="D12" s="3435"/>
      <c r="E12" s="123" t="s">
        <v>1279</v>
      </c>
      <c r="F12" s="1627"/>
      <c r="G12" s="1627"/>
      <c r="H12" s="1627"/>
      <c r="I12" s="1281"/>
    </row>
    <row r="13" spans="1:12" ht="12.75">
      <c r="A13" s="3389"/>
      <c r="B13" s="3444"/>
      <c r="C13" s="3448"/>
      <c r="D13" s="3435"/>
      <c r="E13" s="123" t="s">
        <v>1280</v>
      </c>
      <c r="F13" s="1627"/>
      <c r="G13" s="1627"/>
      <c r="H13" s="1627"/>
      <c r="I13" s="1281"/>
    </row>
    <row r="14" spans="1:12" ht="12.75">
      <c r="A14" s="3389" t="s">
        <v>1281</v>
      </c>
      <c r="B14" s="3444">
        <v>30</v>
      </c>
      <c r="C14" s="3447"/>
      <c r="D14" s="3435"/>
      <c r="E14" s="123" t="s">
        <v>1282</v>
      </c>
      <c r="F14" s="1627"/>
      <c r="G14" s="1627"/>
      <c r="H14" s="1627"/>
      <c r="I14" s="1281"/>
    </row>
    <row r="15" spans="1:12" ht="12.75">
      <c r="A15" s="3389"/>
      <c r="B15" s="3444"/>
      <c r="C15" s="3449"/>
      <c r="D15" s="3435"/>
      <c r="E15" s="123" t="s">
        <v>1283</v>
      </c>
      <c r="F15" s="1627"/>
      <c r="G15" s="1627"/>
      <c r="H15" s="1627"/>
      <c r="I15" s="1281"/>
    </row>
    <row r="16" spans="1:12" ht="12.75">
      <c r="A16" s="3389"/>
      <c r="B16" s="3444"/>
      <c r="C16" s="3448"/>
      <c r="D16" s="343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66" t="s">
        <v>2131</v>
      </c>
      <c r="F18" s="3467"/>
      <c r="G18" s="3467"/>
      <c r="H18" s="3467"/>
      <c r="I18" s="3467"/>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59" t="s">
        <v>1299</v>
      </c>
      <c r="B24" s="1631" t="s">
        <v>1291</v>
      </c>
      <c r="C24" s="128">
        <f>IF(B30=0,0,D30)</f>
        <v>0</v>
      </c>
      <c r="D24" s="1637"/>
      <c r="E24" s="121"/>
      <c r="F24" s="121"/>
      <c r="G24" s="121"/>
      <c r="H24" s="121"/>
      <c r="I24" s="121"/>
    </row>
    <row r="25" spans="1:36" ht="14.25">
      <c r="A25" s="34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36" t="s">
        <v>1312</v>
      </c>
      <c r="B36" s="1652" t="s">
        <v>1313</v>
      </c>
      <c r="C36" s="137"/>
      <c r="D36" s="1653"/>
      <c r="E36" s="1567"/>
      <c r="F36" s="1654"/>
      <c r="G36" s="121"/>
      <c r="H36" s="121"/>
      <c r="I36" s="121"/>
    </row>
    <row r="37" spans="1:15" ht="15.75" thickBot="1">
      <c r="A37" s="3437"/>
      <c r="B37" s="1555" t="s">
        <v>1314</v>
      </c>
      <c r="C37" s="139"/>
      <c r="D37" s="1071"/>
      <c r="E37" s="1071"/>
      <c r="F37" s="1654"/>
      <c r="G37" s="121"/>
      <c r="H37" s="121"/>
      <c r="I37" s="121"/>
    </row>
    <row r="38" spans="1:15" ht="15.75" thickBot="1">
      <c r="A38" s="34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56" t="s">
        <v>1326</v>
      </c>
      <c r="B45" s="3457"/>
      <c r="C45" s="3458"/>
      <c r="D45" s="147" t="e">
        <f ca="1">ROUND(H101*F45,0)</f>
        <v>#REF!</v>
      </c>
      <c r="E45" s="148" t="s">
        <v>1327</v>
      </c>
      <c r="F45" s="149">
        <v>1</v>
      </c>
      <c r="G45" s="150" t="s">
        <v>1328</v>
      </c>
      <c r="H45" s="121"/>
      <c r="I45" s="121"/>
      <c r="J45" s="3376" t="s">
        <v>1329</v>
      </c>
      <c r="K45" s="3376"/>
      <c r="L45" s="3376"/>
      <c r="M45" s="3376"/>
      <c r="N45" s="3376"/>
      <c r="O45" s="3376"/>
    </row>
    <row r="46" spans="1:15" ht="14.25" customHeight="1">
      <c r="A46" s="3453" t="s">
        <v>1330</v>
      </c>
      <c r="B46" s="3454"/>
      <c r="C46" s="3454"/>
      <c r="D46" s="3454"/>
      <c r="E46" s="3454"/>
      <c r="F46" s="3454"/>
      <c r="G46" s="3455"/>
      <c r="H46" s="1668"/>
      <c r="I46" s="151"/>
      <c r="J46" s="2309">
        <v>1</v>
      </c>
      <c r="K46" s="3377" t="s">
        <v>1331</v>
      </c>
      <c r="L46" s="3377"/>
      <c r="M46" s="3378"/>
      <c r="N46" s="3378"/>
      <c r="O46" s="3378"/>
    </row>
    <row r="47" spans="1:15" ht="12" customHeight="1">
      <c r="A47" s="152" t="s">
        <v>1332</v>
      </c>
      <c r="B47" s="153"/>
      <c r="C47" s="154"/>
      <c r="D47" s="1024" t="s">
        <v>1333</v>
      </c>
      <c r="E47" s="294" t="s">
        <v>1334</v>
      </c>
      <c r="F47" s="155" t="s">
        <v>1335</v>
      </c>
      <c r="G47" s="2332" t="s">
        <v>1336</v>
      </c>
      <c r="H47" s="2333"/>
      <c r="I47" s="151"/>
      <c r="J47" s="2309">
        <v>2</v>
      </c>
      <c r="K47" s="3377" t="s">
        <v>1337</v>
      </c>
      <c r="L47" s="3377"/>
      <c r="M47" s="3379">
        <f>'数据-取费表'!B2</f>
        <v>45880</v>
      </c>
      <c r="N47" s="3379"/>
      <c r="O47" s="3379"/>
    </row>
    <row r="48" spans="1:15" ht="25.5">
      <c r="A48" s="3439" t="s">
        <v>1338</v>
      </c>
      <c r="B48" s="3440"/>
      <c r="C48" s="344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77" t="s">
        <v>1340</v>
      </c>
      <c r="L48" s="3377"/>
      <c r="M48" s="3380" t="e">
        <f ca="1">H101</f>
        <v>#REF!</v>
      </c>
      <c r="N48" s="3380"/>
      <c r="O48" s="3380"/>
    </row>
    <row r="49" spans="1:35" ht="25.5" customHeight="1">
      <c r="A49" s="2152" t="s">
        <v>1341</v>
      </c>
      <c r="B49" s="3425" t="s">
        <v>1342</v>
      </c>
      <c r="C49" s="3425"/>
      <c r="D49" s="1478">
        <v>0</v>
      </c>
      <c r="E49" s="316" t="s">
        <v>1343</v>
      </c>
      <c r="F49" s="2233" t="s">
        <v>28</v>
      </c>
      <c r="G49" s="3408"/>
      <c r="H49" s="2134" t="s">
        <v>2134</v>
      </c>
      <c r="I49" s="2135"/>
      <c r="J49" s="2309">
        <v>4</v>
      </c>
      <c r="K49" s="3377" t="str">
        <f>IF(项目基本情况!E8="房地产抵押价值","房地产抵押价值","抵押担保权已注销时的房地产抵押价值")</f>
        <v>抵押担保权已注销时的房地产抵押价值</v>
      </c>
      <c r="L49" s="3377"/>
      <c r="M49" s="3380" t="str">
        <f>IF(项目基本情况!E8="房地产抵押价值",H107,H109)</f>
        <v>——</v>
      </c>
      <c r="N49" s="3380"/>
      <c r="O49" s="3380"/>
    </row>
    <row r="50" spans="1:35" ht="25.5" customHeight="1">
      <c r="A50" s="2337"/>
      <c r="B50" s="3425" t="s">
        <v>1344</v>
      </c>
      <c r="C50" s="3425"/>
      <c r="D50" s="2189"/>
      <c r="E50" s="323"/>
      <c r="F50" s="2233"/>
      <c r="G50" s="3409"/>
      <c r="H50" s="2136" t="s">
        <v>2135</v>
      </c>
      <c r="I50" s="2135"/>
      <c r="J50" s="3376" t="s">
        <v>1345</v>
      </c>
      <c r="K50" s="3376"/>
      <c r="L50" s="3376"/>
      <c r="M50" s="3376"/>
      <c r="N50" s="3376"/>
      <c r="O50" s="3376"/>
    </row>
    <row r="51" spans="1:35" ht="20.45" customHeight="1">
      <c r="A51" s="2338"/>
      <c r="B51" s="3425" t="s">
        <v>1346</v>
      </c>
      <c r="C51" s="3425"/>
      <c r="D51" s="1024"/>
      <c r="E51" s="319"/>
      <c r="F51" s="2233"/>
      <c r="G51" s="3410"/>
      <c r="H51" s="2136" t="s">
        <v>2136</v>
      </c>
      <c r="I51" s="2135"/>
      <c r="J51" s="2310" t="s">
        <v>1347</v>
      </c>
      <c r="K51" s="3377" t="s">
        <v>1348</v>
      </c>
      <c r="L51" s="3377"/>
      <c r="M51" s="2310" t="s">
        <v>1349</v>
      </c>
      <c r="N51" s="2310" t="s">
        <v>1350</v>
      </c>
      <c r="O51" s="2310" t="s">
        <v>1351</v>
      </c>
    </row>
    <row r="52" spans="1:35" ht="24" customHeight="1">
      <c r="A52" s="2153" t="s">
        <v>1352</v>
      </c>
      <c r="B52" s="3425" t="s">
        <v>1353</v>
      </c>
      <c r="C52" s="3425"/>
      <c r="D52" s="1024" t="e">
        <f ca="1">ROUND(D45*'数据-取费表'!B41/(1+'数据-取费表'!C42),0)</f>
        <v>#REF!</v>
      </c>
      <c r="E52" s="1256" t="s">
        <v>1354</v>
      </c>
      <c r="F52" s="2339">
        <f>'数据-取费表'!B41</f>
        <v>5.6000000000000001E-2</v>
      </c>
      <c r="G52" s="2340"/>
      <c r="H52" s="2330"/>
      <c r="I52" s="1669"/>
      <c r="J52" s="2309">
        <v>1</v>
      </c>
      <c r="K52" s="3402" t="s">
        <v>1355</v>
      </c>
      <c r="L52" s="3402"/>
      <c r="M52" s="2311" t="b">
        <f>D48</f>
        <v>0</v>
      </c>
      <c r="N52" s="2309" t="str">
        <f>E48</f>
        <v>销售额×税（费）率</v>
      </c>
      <c r="O52" s="2312">
        <f>F48</f>
        <v>5.6000000000000001E-2</v>
      </c>
    </row>
    <row r="53" spans="1:35" ht="12" customHeight="1">
      <c r="A53" s="2153" t="s">
        <v>1356</v>
      </c>
      <c r="B53" s="3426" t="s">
        <v>2289</v>
      </c>
      <c r="C53" s="3427"/>
      <c r="D53" s="1024" t="e">
        <f ca="1">ROUND(D45*'数据-取费表'!B41/(1+'数据-取费表'!C42),0)</f>
        <v>#REF!</v>
      </c>
      <c r="E53" s="1256" t="s">
        <v>1354</v>
      </c>
      <c r="F53" s="2339">
        <f>'数据-取费表'!B41</f>
        <v>5.6000000000000001E-2</v>
      </c>
      <c r="G53" s="2340"/>
      <c r="H53" s="2330"/>
      <c r="I53" s="1669"/>
      <c r="J53" s="2309">
        <v>2</v>
      </c>
      <c r="K53" s="3402" t="s">
        <v>1357</v>
      </c>
      <c r="L53" s="3402"/>
      <c r="M53" s="2311" t="e">
        <f t="shared" ref="M53:O54" ca="1" si="0">D55</f>
        <v>#REF!</v>
      </c>
      <c r="N53" s="2309" t="str">
        <f t="shared" si="0"/>
        <v>销售额×税（费）率</v>
      </c>
      <c r="O53" s="2312" t="str">
        <f t="shared" si="0"/>
        <v>免征</v>
      </c>
    </row>
    <row r="54" spans="1:35" ht="12" customHeight="1">
      <c r="A54" s="2153" t="s">
        <v>1358</v>
      </c>
      <c r="B54" s="3426" t="s">
        <v>2290</v>
      </c>
      <c r="C54" s="3427"/>
      <c r="D54" s="1024" t="e">
        <f ca="1">C68</f>
        <v>#REF!</v>
      </c>
      <c r="E54" s="319" t="s">
        <v>1359</v>
      </c>
      <c r="F54" s="2339">
        <f>'数据-取费表'!B41</f>
        <v>5.6000000000000001E-2</v>
      </c>
      <c r="G54" s="2340"/>
      <c r="H54" s="2341"/>
      <c r="I54" s="1669"/>
      <c r="J54" s="2309">
        <v>3</v>
      </c>
      <c r="K54" s="3402" t="s">
        <v>1360</v>
      </c>
      <c r="L54" s="3402"/>
      <c r="M54" s="2311" t="e">
        <f t="shared" ca="1" si="0"/>
        <v>#REF!</v>
      </c>
      <c r="N54" s="2309" t="str">
        <f t="shared" si="0"/>
        <v>增值额×税（费）率</v>
      </c>
      <c r="O54" s="2313" t="str">
        <f t="shared" si="0"/>
        <v>免征</v>
      </c>
    </row>
    <row r="55" spans="1:35" ht="24" customHeight="1">
      <c r="A55" s="3462" t="s">
        <v>1361</v>
      </c>
      <c r="B55" s="3440"/>
      <c r="C55" s="3440"/>
      <c r="D55" s="12" t="e">
        <f ca="1">IF(H55="个人住宅",0,ROUND(D45*I55,0))</f>
        <v>#REF!</v>
      </c>
      <c r="E55" s="1256" t="s">
        <v>1362</v>
      </c>
      <c r="F55" s="2339" t="str">
        <f>IF(H55="正常",I55,"免征")</f>
        <v>免征</v>
      </c>
      <c r="G55" s="2340"/>
      <c r="H55" s="2336"/>
      <c r="I55" s="157">
        <f>'数据-取费表'!B49</f>
        <v>5.0000000000000001E-4</v>
      </c>
      <c r="J55" s="2309">
        <f>IF(H59="非个人房产","",4)</f>
        <v>4</v>
      </c>
      <c r="K55" s="3402" t="str">
        <f>IF(H59="非个人房产","——","个人所得税")</f>
        <v>个人所得税</v>
      </c>
      <c r="L55" s="3402"/>
      <c r="M55" s="2314" t="e">
        <f ca="1">D59</f>
        <v>#REF!</v>
      </c>
      <c r="N55" s="1883" t="str">
        <f>E59</f>
        <v>差额计税</v>
      </c>
      <c r="O55" s="2315">
        <f>F59</f>
        <v>0.01</v>
      </c>
    </row>
    <row r="56" spans="1:35" ht="24.75">
      <c r="A56" s="3462" t="s">
        <v>1363</v>
      </c>
      <c r="B56" s="3440"/>
      <c r="C56" s="3440"/>
      <c r="D56" s="12" t="e">
        <f ca="1">IF(H56="个人住宅",D57,D58)</f>
        <v>#REF!</v>
      </c>
      <c r="E56" s="1256" t="s">
        <v>1364</v>
      </c>
      <c r="F56" s="2339" t="str">
        <f>IF(H56="正常",F58,"免征")</f>
        <v>免征</v>
      </c>
      <c r="G56" s="2342" t="s">
        <v>1365</v>
      </c>
      <c r="H56" s="2343"/>
      <c r="I56" s="1670"/>
      <c r="J56" s="2309" t="str">
        <f>IF(项目基本情况!K6="上海银行",IF(J55="",4,J55+1),"")</f>
        <v/>
      </c>
      <c r="K56" s="3383" t="str">
        <f>IF(项目基本情况!K6="上海银行","其他处置费用","")</f>
        <v/>
      </c>
      <c r="L56" s="3384"/>
      <c r="M56" s="2311" t="str">
        <f>IF(项目基本情况!K6="上海银行",M69,"")</f>
        <v/>
      </c>
      <c r="N56" s="3383" t="str">
        <f>IF(项目基本情况!K6="上海银行","包含处置中涉及的律师、诉讼、拍卖、评估等费用","")</f>
        <v/>
      </c>
      <c r="O56" s="3386"/>
    </row>
    <row r="57" spans="1:35" ht="12.75">
      <c r="A57" s="2153" t="s">
        <v>1341</v>
      </c>
      <c r="B57" s="3426" t="s">
        <v>1366</v>
      </c>
      <c r="C57" s="3427"/>
      <c r="D57" s="1478">
        <v>0</v>
      </c>
      <c r="E57" s="316" t="s">
        <v>1343</v>
      </c>
      <c r="F57" s="294"/>
      <c r="G57" s="2340"/>
      <c r="H57" s="2344"/>
      <c r="I57" s="1670"/>
      <c r="J57" s="3402">
        <f>IF(AND(J55="",J56=""),4,IF(项目基本情况!K6="上海银行",结果表!J56+1,结果表!J55+1))</f>
        <v>5</v>
      </c>
      <c r="K57" s="3402" t="s">
        <v>1367</v>
      </c>
      <c r="L57" s="2316" t="s">
        <v>1368</v>
      </c>
      <c r="M57" s="2317"/>
      <c r="N57" s="2318">
        <f ca="1">SUMIF(M52:M56,"&lt;9e307")</f>
        <v>0</v>
      </c>
      <c r="O57" s="2319"/>
      <c r="P57" s="2464" t="e">
        <f ca="1">N57/M49</f>
        <v>#VALUE!</v>
      </c>
    </row>
    <row r="58" spans="1:35" ht="24.75">
      <c r="A58" s="2153" t="s">
        <v>1352</v>
      </c>
      <c r="B58" s="3426" t="s">
        <v>1369</v>
      </c>
      <c r="C58" s="3425"/>
      <c r="D58" s="12" t="e">
        <f ca="1">IF(H58="转让取得",C81,C97)</f>
        <v>#REF!</v>
      </c>
      <c r="E58" s="1256" t="s">
        <v>1364</v>
      </c>
      <c r="F58" s="294" t="s">
        <v>28</v>
      </c>
      <c r="G58" s="2340"/>
      <c r="H58" s="2343"/>
      <c r="I58" s="1670"/>
      <c r="J58" s="3402"/>
      <c r="K58" s="3402"/>
      <c r="L58" s="2316" t="s">
        <v>1370</v>
      </c>
      <c r="M58" s="2320"/>
      <c r="N58" s="2321" t="str">
        <f ca="1">NUMBERSTRING(INT(N57*10000),2)&amp;"元整"</f>
        <v>零元整</v>
      </c>
      <c r="O58" s="2322"/>
    </row>
    <row r="59" spans="1:35" ht="24.75" thickBot="1">
      <c r="A59" s="3406" t="s">
        <v>1371</v>
      </c>
      <c r="B59" s="3407"/>
      <c r="C59" s="340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04">
        <f>J57+1</f>
        <v>6</v>
      </c>
      <c r="K59" s="3402" t="s">
        <v>1372</v>
      </c>
      <c r="L59" s="2309" t="s">
        <v>1368</v>
      </c>
      <c r="M59" s="2323"/>
      <c r="N59" s="2324" t="e">
        <f ca="1">M49-N57</f>
        <v>#VALUE!</v>
      </c>
      <c r="O59" s="2325"/>
    </row>
    <row r="60" spans="1:35" ht="12" customHeight="1">
      <c r="A60" s="1671"/>
      <c r="B60" s="646"/>
      <c r="C60" s="646"/>
      <c r="D60" s="646"/>
      <c r="E60" s="1466"/>
      <c r="F60" s="1670"/>
      <c r="G60" s="1670"/>
      <c r="H60" s="151"/>
      <c r="I60" s="121"/>
      <c r="J60" s="3405"/>
      <c r="K60" s="3402"/>
      <c r="L60" s="2316" t="s">
        <v>1370</v>
      </c>
      <c r="M60" s="2320"/>
      <c r="N60" s="2321" t="e">
        <f ca="1">NUMBERSTRING(INT(N59*10000),2)&amp;"元整"</f>
        <v>#VALUE!</v>
      </c>
      <c r="O60" s="2322"/>
    </row>
    <row r="61" spans="1:35" ht="13.5" thickBot="1">
      <c r="A61" s="3461" t="s">
        <v>1373</v>
      </c>
      <c r="B61" s="3461"/>
      <c r="C61" s="3461"/>
      <c r="D61" s="3461"/>
      <c r="E61" s="3461"/>
      <c r="F61" s="1670"/>
      <c r="G61" s="1670"/>
      <c r="H61" s="151"/>
      <c r="I61" s="121"/>
      <c r="J61" s="2309">
        <f>J59+1</f>
        <v>7</v>
      </c>
      <c r="K61" s="3402" t="s">
        <v>1374</v>
      </c>
      <c r="L61" s="3402"/>
      <c r="M61" s="2326"/>
      <c r="N61" s="2327" t="e">
        <f ca="1">ROUND(N59*10000/'数据-汇总表'!E3,0)</f>
        <v>#VALUE!</v>
      </c>
      <c r="O61" s="2328"/>
    </row>
    <row r="62" spans="1:35" ht="12.75">
      <c r="A62" s="3421" t="s">
        <v>1375</v>
      </c>
      <c r="B62" s="3422"/>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85"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8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85"/>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85"/>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8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85"/>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85"/>
      <c r="K69" s="1245" t="s">
        <v>1393</v>
      </c>
      <c r="L69" s="1245"/>
      <c r="M69" s="294" t="e">
        <f>ROUND(SUM(M63:M68),0)</f>
        <v>#VALUE!</v>
      </c>
      <c r="N69" s="2331" t="e">
        <f>M69/M49</f>
        <v>#VALUE!</v>
      </c>
      <c r="Z69" s="1623"/>
      <c r="AI69" s="1561"/>
    </row>
    <row r="70" spans="1:35" s="642" customFormat="1" ht="15" thickBot="1">
      <c r="A70" s="3429" t="s">
        <v>1394</v>
      </c>
      <c r="B70" s="3430"/>
      <c r="C70" s="3430"/>
      <c r="D70" s="3430"/>
      <c r="E70" s="3430"/>
      <c r="F70" s="3430"/>
      <c r="G70" s="3430"/>
      <c r="H70" s="34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21" t="s">
        <v>1375</v>
      </c>
      <c r="B71" s="34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26" t="s">
        <v>1402</v>
      </c>
      <c r="F76" s="3425"/>
      <c r="G76" s="3425"/>
      <c r="H76" s="34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418" t="s">
        <v>1406</v>
      </c>
      <c r="F78" s="3419"/>
      <c r="G78" s="3419"/>
      <c r="H78" s="34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29" t="s">
        <v>1410</v>
      </c>
      <c r="B83" s="3430"/>
      <c r="C83" s="3430"/>
      <c r="D83" s="3430"/>
      <c r="E83" s="3430"/>
      <c r="F83" s="3430"/>
      <c r="G83" s="3430"/>
      <c r="H83" s="34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21" t="s">
        <v>1375</v>
      </c>
      <c r="B84" s="34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87" t="s">
        <v>2129</v>
      </c>
      <c r="H90" s="3388"/>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418" t="s">
        <v>1419</v>
      </c>
      <c r="F91" s="3419"/>
      <c r="G91" s="34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418" t="s">
        <v>1422</v>
      </c>
      <c r="F92" s="3419"/>
      <c r="G92" s="3419"/>
      <c r="H92" s="3420"/>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418" t="s">
        <v>1406</v>
      </c>
      <c r="F93" s="3419"/>
      <c r="G93" s="3419"/>
      <c r="H93" s="34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63" t="s">
        <v>1426</v>
      </c>
      <c r="F94" s="3464"/>
      <c r="G94" s="3464"/>
      <c r="H94" s="34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68" t="s">
        <v>1428</v>
      </c>
      <c r="B100" s="3369"/>
      <c r="C100" s="3369"/>
      <c r="D100" s="3403"/>
      <c r="E100" s="3369" t="s">
        <v>1429</v>
      </c>
      <c r="F100" s="3369"/>
      <c r="G100" s="3369"/>
      <c r="H100" s="3403"/>
      <c r="I100" s="121"/>
    </row>
    <row r="101" spans="1:35" ht="18.75" customHeight="1">
      <c r="A101" s="3411" t="s">
        <v>1430</v>
      </c>
      <c r="B101" s="3412"/>
      <c r="C101" s="2370">
        <f>C4</f>
        <v>0</v>
      </c>
      <c r="D101" s="2371">
        <f>D4</f>
        <v>0</v>
      </c>
      <c r="E101" s="3381" t="s">
        <v>1431</v>
      </c>
      <c r="F101" s="3382"/>
      <c r="G101" s="1687" t="s">
        <v>1432</v>
      </c>
      <c r="H101" s="2380" t="e">
        <f ca="1">H118</f>
        <v>#REF!</v>
      </c>
      <c r="I101" s="121"/>
    </row>
    <row r="102" spans="1:35" ht="18.75" customHeight="1">
      <c r="A102" s="3413" t="s">
        <v>1433</v>
      </c>
      <c r="B102" s="2369" t="s">
        <v>1432</v>
      </c>
      <c r="C102" s="2370" t="e">
        <f ca="1">IF(D32="楼面单价",ROUND(C19,0),C19)</f>
        <v>#REF!</v>
      </c>
      <c r="D102" s="2371" t="e">
        <f ca="1">IF(D32="楼面单价",ROUND(D19,0),D19)</f>
        <v>#REF!</v>
      </c>
      <c r="E102" s="3381"/>
      <c r="F102" s="3382"/>
      <c r="G102" s="1687" t="s">
        <v>1434</v>
      </c>
      <c r="H102" s="2340" t="e">
        <f ca="1">I118</f>
        <v>#REF!</v>
      </c>
      <c r="I102" s="121"/>
    </row>
    <row r="103" spans="1:35" ht="42.75" customHeight="1">
      <c r="A103" s="3413"/>
      <c r="B103" s="2369" t="s">
        <v>1434</v>
      </c>
      <c r="C103" s="2372" t="e">
        <f ca="1">C20</f>
        <v>#REF!</v>
      </c>
      <c r="D103" s="2373" t="e">
        <f ca="1">D20</f>
        <v>#REF!</v>
      </c>
      <c r="E103" s="3374" t="s">
        <v>1435</v>
      </c>
      <c r="F103" s="3375"/>
      <c r="G103" s="1688" t="s">
        <v>1436</v>
      </c>
      <c r="H103" s="2380">
        <f>IF(D36="正常操作",H104+H105+H106,H105+H106)</f>
        <v>0</v>
      </c>
      <c r="I103" s="121"/>
    </row>
    <row r="104" spans="1:35" ht="18.75" customHeight="1">
      <c r="A104" s="341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23"/>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14" t="str">
        <f>IF(项目基本情况!E8="已注销","——","3.房地产抵押价值")</f>
        <v>3.房地产抵押价值</v>
      </c>
      <c r="F107" s="3382"/>
      <c r="G107" s="1687" t="s">
        <v>1432</v>
      </c>
      <c r="H107" s="2380" t="e">
        <f ca="1">IF(E107="——","——",H101-H103)</f>
        <v>#REF!</v>
      </c>
      <c r="I107" s="121"/>
    </row>
    <row r="108" spans="1:35" ht="18.75" customHeight="1">
      <c r="A108" s="121"/>
      <c r="B108" s="121"/>
      <c r="C108" s="121"/>
      <c r="D108" s="121"/>
      <c r="E108" s="3414"/>
      <c r="F108" s="3382"/>
      <c r="G108" s="1687" t="s">
        <v>1434</v>
      </c>
      <c r="H108" s="2340">
        <f ca="1">IF(H107=H101,H102,ROUND(H107*10000/'数据-汇总表'!E3,0))</f>
        <v>0</v>
      </c>
      <c r="I108" s="121"/>
    </row>
    <row r="109" spans="1:35" ht="18.75" customHeight="1">
      <c r="A109" s="121"/>
      <c r="B109" s="121"/>
      <c r="C109" s="121"/>
      <c r="D109" s="121"/>
      <c r="E109" s="3414" t="str">
        <f>IF(项目基本情况!E8="已注销及未注销","4.抵押担保权已注销时的房地产抵押价值",IF(项目基本情况!E8="已注销","3.抵押担保权已注销时的房地产抵押价值","——"))</f>
        <v>——</v>
      </c>
      <c r="F109" s="3382"/>
      <c r="G109" s="1687" t="s">
        <v>1432</v>
      </c>
      <c r="H109" s="2383" t="str">
        <f>IF(E109="——","——",H101-H105-H106)</f>
        <v>——</v>
      </c>
      <c r="I109" s="121"/>
    </row>
    <row r="110" spans="1:35" ht="18.75" customHeight="1">
      <c r="A110" s="121"/>
      <c r="B110" s="121"/>
      <c r="C110" s="121"/>
      <c r="D110" s="121"/>
      <c r="E110" s="3414"/>
      <c r="F110" s="3382"/>
      <c r="G110" s="1687" t="s">
        <v>1434</v>
      </c>
      <c r="H110" s="2340" t="str">
        <f>IF(H109="——","——",ROUND(H109*10000/'数据-汇总表'!E3,0))</f>
        <v>——</v>
      </c>
      <c r="I110" s="121"/>
    </row>
    <row r="111" spans="1:35" ht="18.75" customHeight="1">
      <c r="A111" s="121"/>
      <c r="B111" s="121"/>
      <c r="C111" s="121"/>
      <c r="D111" s="121"/>
      <c r="E111" s="3415" t="str">
        <f>IF(项目基本情况!E9="抵押净值",IF(OR(项目基本情况!E8="已注销",项目基本情况!E8="房地产抵押价值"),"4.抵押净值","5.抵押净值"),"——")</f>
        <v>——</v>
      </c>
      <c r="F111" s="3401"/>
      <c r="G111" s="1687" t="s">
        <v>1432</v>
      </c>
      <c r="H111" s="2380" t="str">
        <f>IF(E111="——","——",N59)</f>
        <v>——</v>
      </c>
      <c r="I111" s="121"/>
    </row>
    <row r="112" spans="1:35" ht="18.75" customHeight="1" thickBot="1">
      <c r="A112" s="121"/>
      <c r="B112" s="121"/>
      <c r="C112" s="121"/>
      <c r="D112" s="121"/>
      <c r="E112" s="3416"/>
      <c r="F112" s="3417"/>
      <c r="G112" s="1690" t="s">
        <v>1434</v>
      </c>
      <c r="H112" s="2384" t="str">
        <f>IF(E111="——","——",N61)</f>
        <v>——</v>
      </c>
      <c r="I112" s="121"/>
    </row>
    <row r="113" spans="1:27" ht="18.75" customHeight="1">
      <c r="A113" s="121"/>
      <c r="B113" s="121"/>
      <c r="C113" s="121"/>
      <c r="D113" s="121"/>
      <c r="E113" s="3424" t="s">
        <v>1440</v>
      </c>
      <c r="F113" s="3424"/>
      <c r="G113" s="3424"/>
      <c r="H113" s="3424"/>
      <c r="I113" s="121"/>
    </row>
    <row r="114" spans="1:27" ht="3.75" customHeight="1">
      <c r="A114" s="646"/>
      <c r="B114" s="646"/>
      <c r="C114" s="646"/>
      <c r="D114" s="646"/>
      <c r="E114" s="1671"/>
      <c r="F114" s="1671"/>
      <c r="G114" s="1671"/>
      <c r="H114" s="1671"/>
      <c r="I114" s="646"/>
    </row>
    <row r="115" spans="1:27" ht="18.75" customHeight="1">
      <c r="A115" s="3432" t="s">
        <v>1442</v>
      </c>
      <c r="B115" s="3433"/>
      <c r="C115" s="3433"/>
      <c r="D115" s="3433"/>
      <c r="E115" s="3433"/>
      <c r="F115" s="3433"/>
      <c r="G115" s="3433"/>
      <c r="H115" s="3433"/>
      <c r="I115" s="3434"/>
    </row>
    <row r="116" spans="1:27" ht="27" customHeight="1">
      <c r="A116" s="3389" t="s">
        <v>1443</v>
      </c>
      <c r="B116" s="3393" t="s">
        <v>1444</v>
      </c>
      <c r="C116" s="3393" t="s">
        <v>1445</v>
      </c>
      <c r="D116" s="3399" t="s">
        <v>1446</v>
      </c>
      <c r="E116" s="3400"/>
      <c r="F116" s="3431" t="s">
        <v>1447</v>
      </c>
      <c r="G116" s="3431"/>
      <c r="H116" s="3389" t="s">
        <v>1448</v>
      </c>
      <c r="I116" s="3389"/>
    </row>
    <row r="117" spans="1:27" ht="18.75" customHeight="1">
      <c r="A117" s="3389"/>
      <c r="B117" s="3394"/>
      <c r="C117" s="3394"/>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89" t="s">
        <v>1452</v>
      </c>
      <c r="B119" s="3389"/>
      <c r="C119" s="3389"/>
      <c r="D119" s="3395" t="e">
        <f ca="1">NUMBERSTRING(INT(D118*10000),2)&amp;"元整"</f>
        <v>#REF!</v>
      </c>
      <c r="E119" s="3396"/>
      <c r="F119" s="3395" t="e">
        <f ca="1">NUMBERSTRING(INT(F118*10000),2)&amp;"元整"</f>
        <v>#REF!</v>
      </c>
      <c r="G119" s="3396"/>
      <c r="H119" s="3395" t="e">
        <f ca="1">NUMBERSTRING(INT(H118*10000),2)&amp;"元整"</f>
        <v>#REF!</v>
      </c>
      <c r="I119" s="3396"/>
    </row>
    <row r="120" spans="1:27" ht="18.75" customHeight="1">
      <c r="A120" s="3390" t="str">
        <f>IF(项目基本情况!B9="房地产市场价值","",MID(E103,3,LEN(E103)-2))</f>
        <v/>
      </c>
      <c r="B120" s="3391"/>
      <c r="C120" s="3392"/>
      <c r="D120" s="3390">
        <f>H103</f>
        <v>0</v>
      </c>
      <c r="E120" s="3391"/>
      <c r="F120" s="3391"/>
      <c r="G120" s="3391"/>
      <c r="H120" s="3391"/>
      <c r="I120" s="339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5" t="s">
        <v>1452</v>
      </c>
      <c r="B121" s="3397"/>
      <c r="C121" s="3396"/>
      <c r="D121" s="3395" t="str">
        <f>IF(D120=0,"零元整",NUMBERSTRING(INT(D120*10000),2)&amp;"元整")</f>
        <v>零元整</v>
      </c>
      <c r="E121" s="3397"/>
      <c r="F121" s="3397"/>
      <c r="G121" s="3397"/>
      <c r="H121" s="3397"/>
      <c r="I121" s="3396"/>
      <c r="AA121" s="684"/>
    </row>
    <row r="122" spans="1:27" ht="18.75" customHeight="1">
      <c r="A122" s="3401" t="str">
        <f>IF(项目基本情况!B9="房地产市场价值","",MID(E107,3,LEN(E107)-2))</f>
        <v/>
      </c>
      <c r="B122" s="3401"/>
      <c r="C122" s="3401"/>
      <c r="D122" s="3390" t="e">
        <f ca="1">H107</f>
        <v>#REF!</v>
      </c>
      <c r="E122" s="3391"/>
      <c r="F122" s="3391"/>
      <c r="G122" s="3391"/>
      <c r="H122" s="3391"/>
      <c r="I122" s="3392"/>
      <c r="AA122" s="684"/>
    </row>
    <row r="123" spans="1:27" ht="18.75" customHeight="1">
      <c r="A123" s="3389" t="s">
        <v>1452</v>
      </c>
      <c r="B123" s="3389"/>
      <c r="C123" s="3389"/>
      <c r="D123" s="3395" t="e">
        <f ca="1">NUMBERSTRING(INT(D122*10000),2)&amp;"元整"</f>
        <v>#REF!</v>
      </c>
      <c r="E123" s="3397"/>
      <c r="F123" s="3397"/>
      <c r="G123" s="3397"/>
      <c r="H123" s="3397"/>
      <c r="I123" s="3396"/>
      <c r="AA123" s="684"/>
    </row>
    <row r="124" spans="1:27" ht="18.75" customHeight="1">
      <c r="A124" s="3401" t="str">
        <f>IF(项目基本情况!B9="房地产市场价值","",MID(E109,3,LEN(E109)-2))</f>
        <v/>
      </c>
      <c r="B124" s="3401"/>
      <c r="C124" s="3401"/>
      <c r="D124" s="3390" t="str">
        <f>H109</f>
        <v>——</v>
      </c>
      <c r="E124" s="3391"/>
      <c r="F124" s="3391"/>
      <c r="G124" s="3391"/>
      <c r="H124" s="3391"/>
      <c r="I124" s="3392"/>
      <c r="AA124" s="684"/>
    </row>
    <row r="125" spans="1:27" ht="18.75" customHeight="1">
      <c r="A125" s="3389" t="s">
        <v>1452</v>
      </c>
      <c r="B125" s="3389"/>
      <c r="C125" s="3389"/>
      <c r="D125" s="3395" t="e">
        <f>NUMBERSTRING(INT(D124*10000),2)&amp;"元整"</f>
        <v>#VALUE!</v>
      </c>
      <c r="E125" s="3397"/>
      <c r="F125" s="3397"/>
      <c r="G125" s="3397"/>
      <c r="H125" s="3397"/>
      <c r="I125" s="3396"/>
      <c r="AA125" s="684"/>
    </row>
    <row r="126" spans="1:27" ht="18.75" customHeight="1">
      <c r="A126" s="3401" t="str">
        <f>IF(项目基本情况!B9="房地产市场价值","",MID(E111,3,LEN(E111)-2))</f>
        <v/>
      </c>
      <c r="B126" s="3401"/>
      <c r="C126" s="3401"/>
      <c r="D126" s="3390" t="str">
        <f>H111</f>
        <v>——</v>
      </c>
      <c r="E126" s="3391"/>
      <c r="F126" s="3391"/>
      <c r="G126" s="3391"/>
      <c r="H126" s="3391"/>
      <c r="I126" s="3392"/>
      <c r="AA126" s="684"/>
    </row>
    <row r="127" spans="1:27" ht="18.75" customHeight="1">
      <c r="A127" s="3389" t="s">
        <v>1452</v>
      </c>
      <c r="B127" s="3389"/>
      <c r="C127" s="3389"/>
      <c r="D127" s="3395" t="e">
        <f>NUMBERSTRING(INT(D126*10000),2)&amp;"元整"</f>
        <v>#VALUE!</v>
      </c>
      <c r="E127" s="3397"/>
      <c r="F127" s="3397"/>
      <c r="G127" s="3397"/>
      <c r="H127" s="3397"/>
      <c r="I127" s="3396"/>
      <c r="AA127" s="684"/>
    </row>
    <row r="128" spans="1:27" ht="21.75" customHeight="1">
      <c r="A128" s="3398" t="s">
        <v>1453</v>
      </c>
      <c r="B128" s="3398"/>
      <c r="C128" s="3398"/>
      <c r="D128" s="3398"/>
      <c r="E128" s="3398"/>
      <c r="F128" s="3398"/>
      <c r="G128" s="3398"/>
      <c r="H128" s="3398"/>
      <c r="I128" s="33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68" t="s">
        <v>1544</v>
      </c>
    </row>
    <row r="43" spans="1:7" ht="13.5" customHeight="1">
      <c r="A43" s="734" t="s">
        <v>347</v>
      </c>
      <c r="B43" s="207" t="s">
        <v>1545</v>
      </c>
      <c r="C43" s="230">
        <f ca="1">ROUND(IF('数据-取费表'!B22&lt;=1,C39*F22*'数据-取费表'!B21/2,C39*(POWER((1+F22),'数据-取费表'!B21/2)-1)),0)</f>
        <v>0</v>
      </c>
      <c r="D43" s="230"/>
      <c r="E43" s="230"/>
      <c r="F43" s="231"/>
      <c r="G43" s="3469"/>
    </row>
    <row r="44" spans="1:7" ht="13.5" customHeight="1">
      <c r="A44" s="734" t="s">
        <v>348</v>
      </c>
      <c r="B44" s="207" t="s">
        <v>1546</v>
      </c>
      <c r="C44" s="230">
        <f ca="1">ROUND(IF('数据-取费表'!B22&lt;=1,C40*F22*'数据-取费表'!B21/2,C40*(POWER((1+F22),'数据-取费表'!B21/2)-1)),4)</f>
        <v>2.9999999999999997E-4</v>
      </c>
      <c r="D44" s="230"/>
      <c r="E44" s="230"/>
      <c r="F44" s="231"/>
      <c r="G44" s="3470"/>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86" t="str">
        <f>项目基本情况!B1</f>
        <v>北京市房地产市场价值预评估</v>
      </c>
      <c r="C37" s="3286"/>
      <c r="D37" s="3286"/>
      <c r="E37" s="3286"/>
      <c r="F37" s="3286"/>
      <c r="G37" s="3286"/>
      <c r="H37" s="3286"/>
      <c r="I37" s="32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71" t="s">
        <v>3408</v>
      </c>
      <c r="B1" s="3471"/>
      <c r="C1" s="3471"/>
      <c r="D1" s="3471"/>
      <c r="E1" s="3471"/>
      <c r="F1" s="3471"/>
      <c r="G1" s="3471"/>
      <c r="H1" s="3471"/>
      <c r="I1" s="3471"/>
      <c r="K1" s="3472" t="s">
        <v>3409</v>
      </c>
      <c r="L1" s="3164" t="s">
        <v>3410</v>
      </c>
      <c r="M1" s="3165">
        <v>0</v>
      </c>
      <c r="N1" s="3166"/>
      <c r="O1" s="3166"/>
    </row>
    <row r="2" spans="1:16" ht="15.75" customHeight="1">
      <c r="A2" s="3168" t="s">
        <v>2642</v>
      </c>
      <c r="B2" s="3169" t="s">
        <v>3411</v>
      </c>
      <c r="C2" s="3473" t="s">
        <v>3412</v>
      </c>
      <c r="D2" s="3474"/>
      <c r="E2" s="3474"/>
      <c r="F2" s="3475"/>
      <c r="G2" s="3172" t="s">
        <v>3413</v>
      </c>
      <c r="H2" s="3476" t="s">
        <v>3414</v>
      </c>
      <c r="I2" s="3476"/>
      <c r="K2" s="3472"/>
      <c r="L2" s="3164" t="s">
        <v>3415</v>
      </c>
      <c r="M2" s="3227">
        <f>2025-2008</f>
        <v>17</v>
      </c>
      <c r="N2" s="3174"/>
      <c r="O2" s="3174"/>
    </row>
    <row r="3" spans="1:16">
      <c r="A3" s="3172" t="s">
        <v>3416</v>
      </c>
      <c r="B3" s="3175" t="s">
        <v>3417</v>
      </c>
      <c r="C3" s="3473">
        <f ca="1">'成本法 (元)'!B2*10000</f>
        <v>241402</v>
      </c>
      <c r="D3" s="3474"/>
      <c r="E3" s="3474"/>
      <c r="F3" s="3475"/>
      <c r="G3" s="3172" t="s">
        <v>3418</v>
      </c>
      <c r="H3" s="3175" t="s">
        <v>3419</v>
      </c>
      <c r="I3" s="3176">
        <v>30</v>
      </c>
      <c r="K3" s="3472"/>
      <c r="L3" s="3164" t="s">
        <v>3420</v>
      </c>
      <c r="M3" s="3173" t="s">
        <v>3421</v>
      </c>
      <c r="N3" s="3226">
        <f>M3-M2</f>
        <v>43</v>
      </c>
      <c r="O3" s="3174">
        <v>2008</v>
      </c>
      <c r="P3" s="3167">
        <v>2005</v>
      </c>
    </row>
    <row r="4" spans="1:16">
      <c r="A4" s="3476" t="s">
        <v>3422</v>
      </c>
      <c r="B4" s="3477" t="s">
        <v>3423</v>
      </c>
      <c r="C4" s="3478">
        <f ca="1">ROUND(C3*(I4-I6)/(1-((1+I6)/(1+I4))^I5),0)</f>
        <v>7682</v>
      </c>
      <c r="D4" s="3479"/>
      <c r="E4" s="3479"/>
      <c r="F4" s="3480"/>
      <c r="G4" s="3476" t="s">
        <v>3424</v>
      </c>
      <c r="H4" s="3177" t="s">
        <v>3425</v>
      </c>
      <c r="I4" s="3238">
        <v>0.02</v>
      </c>
      <c r="K4" s="3472"/>
      <c r="L4" s="3164" t="s">
        <v>3426</v>
      </c>
      <c r="M4" s="3178">
        <f>ROUND(1-(1-M1)*M2/M3,2)</f>
        <v>0.72</v>
      </c>
      <c r="N4" s="3174"/>
      <c r="O4" s="3174"/>
      <c r="P4" s="3167">
        <f>P3+40</f>
        <v>2045</v>
      </c>
    </row>
    <row r="5" spans="1:16" s="3181" customFormat="1" ht="18" customHeight="1">
      <c r="A5" s="3476"/>
      <c r="B5" s="3477"/>
      <c r="C5" s="3481"/>
      <c r="D5" s="3482"/>
      <c r="E5" s="3482"/>
      <c r="F5" s="3483"/>
      <c r="G5" s="3476"/>
      <c r="H5" s="3175" t="s">
        <v>3427</v>
      </c>
      <c r="I5" s="3229">
        <v>50</v>
      </c>
      <c r="J5" s="3179"/>
      <c r="K5" s="3472"/>
      <c r="L5" s="3164" t="s">
        <v>3428</v>
      </c>
      <c r="M5" s="3180">
        <v>0.5</v>
      </c>
      <c r="N5" s="3174"/>
      <c r="O5" s="3174"/>
      <c r="P5" s="3181">
        <f>P4-2025</f>
        <v>20</v>
      </c>
    </row>
    <row r="6" spans="1:16" s="3181" customFormat="1" ht="18" customHeight="1">
      <c r="A6" s="3476"/>
      <c r="B6" s="3477"/>
      <c r="C6" s="3484"/>
      <c r="D6" s="3485"/>
      <c r="E6" s="3485"/>
      <c r="F6" s="3486"/>
      <c r="G6" s="3476"/>
      <c r="H6" s="3175" t="s">
        <v>3429</v>
      </c>
      <c r="I6" s="3228">
        <v>0</v>
      </c>
      <c r="J6" s="3182"/>
      <c r="K6" s="3487" t="s">
        <v>3430</v>
      </c>
      <c r="L6" s="3183" t="s">
        <v>3431</v>
      </c>
      <c r="M6" s="3184" t="s">
        <v>3432</v>
      </c>
      <c r="N6" s="3184" t="s">
        <v>3433</v>
      </c>
      <c r="O6" s="3184" t="s">
        <v>3434</v>
      </c>
      <c r="P6" s="3184" t="s">
        <v>3435</v>
      </c>
    </row>
    <row r="7" spans="1:16" s="3181" customFormat="1" ht="18" customHeight="1">
      <c r="A7" s="3172" t="s">
        <v>3436</v>
      </c>
      <c r="B7" s="3175" t="s">
        <v>3437</v>
      </c>
      <c r="C7" s="3473">
        <f ca="1">'成本法 (元)'!C51</f>
        <v>136833</v>
      </c>
      <c r="D7" s="3474"/>
      <c r="E7" s="3474"/>
      <c r="F7" s="3475"/>
      <c r="G7" s="3172" t="s">
        <v>3438</v>
      </c>
      <c r="H7" s="3175" t="s">
        <v>3439</v>
      </c>
      <c r="I7" s="3185">
        <v>1</v>
      </c>
      <c r="K7" s="3487"/>
      <c r="L7" s="3183" t="s">
        <v>3440</v>
      </c>
      <c r="M7" s="3184">
        <v>100</v>
      </c>
      <c r="N7" s="3184" t="s">
        <v>3441</v>
      </c>
      <c r="O7" s="3184">
        <v>80</v>
      </c>
      <c r="P7" s="3186">
        <v>0.3</v>
      </c>
    </row>
    <row r="8" spans="1:16" s="3181" customFormat="1" ht="18" hidden="1" customHeight="1">
      <c r="A8" s="3168" t="s">
        <v>3442</v>
      </c>
      <c r="B8" s="3175" t="s">
        <v>3443</v>
      </c>
      <c r="C8" s="3473">
        <f>ROUND(I8*I3,0)</f>
        <v>105000</v>
      </c>
      <c r="D8" s="3474"/>
      <c r="E8" s="3474"/>
      <c r="F8" s="3475"/>
      <c r="G8" s="3172" t="s">
        <v>3444</v>
      </c>
      <c r="H8" s="3175" t="s">
        <v>3445</v>
      </c>
      <c r="I8" s="3172">
        <f>'数据-取费表'!L6</f>
        <v>3500</v>
      </c>
      <c r="J8" s="3187" t="e">
        <f>D35</f>
        <v>#DIV/0!</v>
      </c>
      <c r="K8" s="3487"/>
      <c r="L8" s="3183" t="s">
        <v>3446</v>
      </c>
      <c r="M8" s="3184">
        <v>100</v>
      </c>
      <c r="N8" s="3184" t="s">
        <v>3441</v>
      </c>
      <c r="O8" s="3184">
        <v>80</v>
      </c>
      <c r="P8" s="3186">
        <v>0.5</v>
      </c>
    </row>
    <row r="9" spans="1:16" s="3181" customFormat="1" ht="18" hidden="1" customHeight="1">
      <c r="A9" s="3168" t="s">
        <v>3447</v>
      </c>
      <c r="B9" s="3175" t="s">
        <v>3448</v>
      </c>
      <c r="C9" s="3473">
        <f>ROUND(C8*H9,0)</f>
        <v>3150</v>
      </c>
      <c r="D9" s="3474"/>
      <c r="E9" s="3474"/>
      <c r="F9" s="3475"/>
      <c r="G9" s="3172" t="s">
        <v>3449</v>
      </c>
      <c r="H9" s="3488">
        <f>'数据-取费表'!B33</f>
        <v>0.03</v>
      </c>
      <c r="I9" s="3488"/>
      <c r="J9" s="3187">
        <f ca="1">D36</f>
        <v>2.71</v>
      </c>
      <c r="K9" s="3487"/>
      <c r="L9" s="3183" t="s">
        <v>3450</v>
      </c>
      <c r="M9" s="3184">
        <v>100</v>
      </c>
      <c r="N9" s="3184" t="s">
        <v>3441</v>
      </c>
      <c r="O9" s="3184">
        <v>80</v>
      </c>
      <c r="P9" s="3186">
        <f>1-P7-P8</f>
        <v>0.19999999999999996</v>
      </c>
    </row>
    <row r="10" spans="1:16" s="3181" customFormat="1" ht="18" hidden="1" customHeight="1">
      <c r="A10" s="3168" t="s">
        <v>3451</v>
      </c>
      <c r="B10" s="3175" t="s">
        <v>3452</v>
      </c>
      <c r="C10" s="3473">
        <f>ROUND(C8*H10,0)</f>
        <v>0</v>
      </c>
      <c r="D10" s="3474"/>
      <c r="E10" s="3474"/>
      <c r="F10" s="3475"/>
      <c r="G10" s="3172" t="s">
        <v>3449</v>
      </c>
      <c r="H10" s="3488">
        <v>0</v>
      </c>
      <c r="I10" s="3488"/>
      <c r="J10" s="3187" t="e">
        <f ca="1">D37</f>
        <v>#DIV/0!</v>
      </c>
      <c r="K10" s="3487"/>
      <c r="L10" s="3188" t="s">
        <v>3428</v>
      </c>
      <c r="M10" s="3189">
        <f>1-M5</f>
        <v>0.5</v>
      </c>
      <c r="N10" s="3184" t="s">
        <v>3426</v>
      </c>
      <c r="O10" s="3190">
        <f>ROUND((O7*P7+O8*P8+O9*P9)/100,2)</f>
        <v>0.8</v>
      </c>
      <c r="P10" s="3191"/>
    </row>
    <row r="11" spans="1:16" s="3181" customFormat="1" ht="29.25" hidden="1" customHeight="1">
      <c r="A11" s="3168" t="s">
        <v>3453</v>
      </c>
      <c r="B11" s="3175" t="s">
        <v>3454</v>
      </c>
      <c r="C11" s="3473">
        <f>ROUND(I11*I3,0)</f>
        <v>6000</v>
      </c>
      <c r="D11" s="3474"/>
      <c r="E11" s="3474"/>
      <c r="F11" s="3475"/>
      <c r="G11" s="3172" t="s">
        <v>3455</v>
      </c>
      <c r="H11" s="3175" t="s">
        <v>3456</v>
      </c>
      <c r="I11" s="3172">
        <f>'数据-取费表'!B30</f>
        <v>200</v>
      </c>
      <c r="J11" s="3179"/>
      <c r="K11" s="3163"/>
      <c r="L11" s="3163"/>
    </row>
    <row r="12" spans="1:16" s="3181" customFormat="1" ht="18" hidden="1" customHeight="1">
      <c r="A12" s="3168" t="s">
        <v>3457</v>
      </c>
      <c r="B12" s="3175" t="s">
        <v>3458</v>
      </c>
      <c r="C12" s="3473">
        <f ca="1">ROUND(C8*H12,0)</f>
        <v>1575</v>
      </c>
      <c r="D12" s="3474"/>
      <c r="E12" s="3474"/>
      <c r="F12" s="3475"/>
      <c r="G12" s="3172" t="s">
        <v>3449</v>
      </c>
      <c r="H12" s="3488">
        <f ca="1">'数据-取费表'!B39</f>
        <v>1.4999999999999999E-2</v>
      </c>
      <c r="I12" s="3488"/>
      <c r="J12" s="3192" t="s">
        <v>3459</v>
      </c>
      <c r="L12" s="3193"/>
    </row>
    <row r="13" spans="1:16" s="3181" customFormat="1" ht="18" hidden="1" customHeight="1">
      <c r="A13" s="3168" t="s">
        <v>438</v>
      </c>
      <c r="B13" s="3175" t="s">
        <v>3460</v>
      </c>
      <c r="C13" s="3473">
        <f ca="1">SUM(C8:F12)</f>
        <v>115725</v>
      </c>
      <c r="D13" s="3474"/>
      <c r="E13" s="3474"/>
      <c r="F13" s="3475"/>
      <c r="G13" s="3476" t="s">
        <v>3461</v>
      </c>
      <c r="H13" s="3476"/>
      <c r="I13" s="3476"/>
      <c r="J13" s="3192" t="s">
        <v>3462</v>
      </c>
      <c r="L13" s="3193"/>
    </row>
    <row r="14" spans="1:16" s="3181" customFormat="1" ht="18" hidden="1" customHeight="1">
      <c r="A14" s="3168" t="s">
        <v>3463</v>
      </c>
      <c r="B14" s="3175" t="s">
        <v>3464</v>
      </c>
      <c r="C14" s="3473">
        <f ca="1">ROUND(C13*H14,0)</f>
        <v>2315</v>
      </c>
      <c r="D14" s="3474"/>
      <c r="E14" s="3474"/>
      <c r="F14" s="3475"/>
      <c r="G14" s="3172" t="s">
        <v>3465</v>
      </c>
      <c r="H14" s="3488">
        <f>'数据-取费表'!B37</f>
        <v>0.02</v>
      </c>
      <c r="I14" s="3488"/>
      <c r="J14" s="3179"/>
      <c r="L14" s="3193"/>
    </row>
    <row r="15" spans="1:16" s="3181" customFormat="1" ht="18" hidden="1" customHeight="1">
      <c r="A15" s="3168" t="s">
        <v>393</v>
      </c>
      <c r="B15" s="3175" t="s">
        <v>3466</v>
      </c>
      <c r="C15" s="3493">
        <f>H15</f>
        <v>0.01</v>
      </c>
      <c r="D15" s="3494"/>
      <c r="E15" s="3491" t="str">
        <f>E18</f>
        <v>V</v>
      </c>
      <c r="F15" s="3492"/>
      <c r="G15" s="3172" t="s">
        <v>3467</v>
      </c>
      <c r="H15" s="3488">
        <f>'数据-取费表'!B38</f>
        <v>0.01</v>
      </c>
      <c r="I15" s="3488"/>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73" t="s">
        <v>3470</v>
      </c>
      <c r="H16" s="3474"/>
      <c r="I16" s="3475"/>
      <c r="J16" s="3179"/>
      <c r="K16" s="3163"/>
    </row>
    <row r="17" spans="1:16" s="3181" customFormat="1" ht="18" hidden="1" customHeight="1">
      <c r="A17" s="3168" t="s">
        <v>3471</v>
      </c>
      <c r="B17" s="3175" t="s">
        <v>3472</v>
      </c>
      <c r="C17" s="3473">
        <f>[1]成本法!C41</f>
        <v>263479</v>
      </c>
      <c r="D17" s="3474"/>
      <c r="E17" s="3474"/>
      <c r="F17" s="3475"/>
      <c r="G17" s="3170" t="s">
        <v>3473</v>
      </c>
      <c r="H17" s="3175" t="s">
        <v>3474</v>
      </c>
      <c r="I17" s="3172">
        <f>'数据-取费表'!B20</f>
        <v>2</v>
      </c>
      <c r="J17" s="3192" t="s">
        <v>3475</v>
      </c>
      <c r="K17" s="3163"/>
      <c r="L17" s="3163"/>
    </row>
    <row r="18" spans="1:16" s="3181" customFormat="1" ht="18" hidden="1" customHeight="1">
      <c r="A18" s="3168" t="s">
        <v>3476</v>
      </c>
      <c r="B18" s="3175" t="s">
        <v>3477</v>
      </c>
      <c r="C18" s="3489">
        <f ca="1">H15*I18*I17/2</f>
        <v>2.9999999999999997E-4</v>
      </c>
      <c r="D18" s="3490"/>
      <c r="E18" s="3491" t="s">
        <v>3478</v>
      </c>
      <c r="F18" s="3492"/>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73" t="s">
        <v>3483</v>
      </c>
      <c r="H19" s="3474"/>
      <c r="I19" s="3475"/>
      <c r="J19" s="3179"/>
      <c r="K19" s="3163"/>
      <c r="L19" s="3163"/>
    </row>
    <row r="20" spans="1:16" s="3181" customFormat="1" ht="26.25" hidden="1" customHeight="1">
      <c r="A20" s="3168" t="s">
        <v>3484</v>
      </c>
      <c r="B20" s="3175" t="s">
        <v>3485</v>
      </c>
      <c r="C20" s="3473">
        <f>[1]成本法!C46</f>
        <v>1109387</v>
      </c>
      <c r="D20" s="3474"/>
      <c r="E20" s="3474"/>
      <c r="F20" s="3475"/>
      <c r="G20" s="3172" t="s">
        <v>3486</v>
      </c>
      <c r="H20" s="3497" t="s">
        <v>3487</v>
      </c>
      <c r="I20" s="3499">
        <v>0.05</v>
      </c>
      <c r="J20" s="3192" t="s">
        <v>3488</v>
      </c>
      <c r="K20" s="3163"/>
      <c r="L20" s="3163"/>
    </row>
    <row r="21" spans="1:16" s="3181" customFormat="1" ht="27" hidden="1" customHeight="1">
      <c r="A21" s="3168" t="s">
        <v>3484</v>
      </c>
      <c r="B21" s="3175" t="s">
        <v>3489</v>
      </c>
      <c r="C21" s="3493">
        <f>H15*I20</f>
        <v>5.0000000000000001E-4</v>
      </c>
      <c r="D21" s="3494"/>
      <c r="E21" s="3491" t="s">
        <v>3478</v>
      </c>
      <c r="F21" s="3492"/>
      <c r="G21" s="3172" t="s">
        <v>3490</v>
      </c>
      <c r="H21" s="3498"/>
      <c r="I21" s="3499"/>
      <c r="J21" s="3179"/>
      <c r="K21" s="3163"/>
      <c r="L21" s="3163"/>
    </row>
    <row r="22" spans="1:16" s="3181" customFormat="1" ht="18" hidden="1" customHeight="1">
      <c r="A22" s="3168" t="s">
        <v>396</v>
      </c>
      <c r="B22" s="3175" t="s">
        <v>3491</v>
      </c>
      <c r="C22" s="3493">
        <f>ROUND(H22/1.05,4)</f>
        <v>5.33E-2</v>
      </c>
      <c r="D22" s="3494"/>
      <c r="E22" s="3491" t="s">
        <v>3478</v>
      </c>
      <c r="F22" s="3492"/>
      <c r="G22" s="3172" t="s">
        <v>3492</v>
      </c>
      <c r="H22" s="3488">
        <f>'[1]数据-取费表'!E29</f>
        <v>5.6000000000000001E-2</v>
      </c>
      <c r="I22" s="3488"/>
      <c r="J22" s="3203"/>
      <c r="K22" s="3163"/>
      <c r="L22" s="3163"/>
    </row>
    <row r="23" spans="1:16" s="3181" customFormat="1" ht="18" hidden="1" customHeight="1">
      <c r="A23" s="3168" t="s">
        <v>3493</v>
      </c>
      <c r="B23" s="3175" t="s">
        <v>3494</v>
      </c>
      <c r="C23" s="3473">
        <f>[1]成本法!C49</f>
        <v>7610029</v>
      </c>
      <c r="D23" s="3474"/>
      <c r="E23" s="3474"/>
      <c r="F23" s="3475"/>
      <c r="G23" s="3473" t="s">
        <v>3495</v>
      </c>
      <c r="H23" s="3474"/>
      <c r="I23" s="3475"/>
      <c r="J23" s="3203"/>
      <c r="K23" s="3163"/>
      <c r="L23" s="3234"/>
      <c r="M23" s="3235"/>
      <c r="N23" s="3235"/>
    </row>
    <row r="24" spans="1:16" s="3181" customFormat="1" ht="18" hidden="1" customHeight="1">
      <c r="A24" s="3168" t="s">
        <v>3496</v>
      </c>
      <c r="B24" s="3175" t="s">
        <v>3497</v>
      </c>
      <c r="C24" s="3194">
        <f ca="1">C26+C27</f>
        <v>15357</v>
      </c>
      <c r="D24" s="3204" t="s">
        <v>3498</v>
      </c>
      <c r="E24" s="3495">
        <f>H25+H28</f>
        <v>0.18330000000000002</v>
      </c>
      <c r="F24" s="3496"/>
      <c r="G24" s="3476" t="s">
        <v>3499</v>
      </c>
      <c r="H24" s="3476"/>
      <c r="I24" s="3476"/>
      <c r="J24" s="3203"/>
      <c r="K24" s="3163"/>
      <c r="L24" s="3234"/>
      <c r="M24" s="3235"/>
      <c r="N24" s="3235"/>
    </row>
    <row r="25" spans="1:16" s="3181" customFormat="1" ht="18" customHeight="1">
      <c r="A25" s="3168" t="s">
        <v>438</v>
      </c>
      <c r="B25" s="3175" t="s">
        <v>3500</v>
      </c>
      <c r="C25" s="3493" t="s">
        <v>3501</v>
      </c>
      <c r="D25" s="3494"/>
      <c r="E25" s="3495">
        <f>H25</f>
        <v>0.17330000000000001</v>
      </c>
      <c r="F25" s="3496"/>
      <c r="G25" s="3172" t="s">
        <v>3502</v>
      </c>
      <c r="H25" s="3500">
        <f>ROUND(5.6%/1.05+12%,4)</f>
        <v>0.17330000000000001</v>
      </c>
      <c r="I25" s="3500"/>
      <c r="J25" s="3196"/>
      <c r="K25" s="3163"/>
      <c r="L25" s="3163"/>
    </row>
    <row r="26" spans="1:16" s="3181" customFormat="1" ht="18" customHeight="1">
      <c r="A26" s="3168" t="s">
        <v>3463</v>
      </c>
      <c r="B26" s="3175" t="s">
        <v>3503</v>
      </c>
      <c r="C26" s="3473">
        <f>ROUND(C23*H26,0)</f>
        <v>15220</v>
      </c>
      <c r="D26" s="3474"/>
      <c r="E26" s="3474"/>
      <c r="F26" s="3475"/>
      <c r="G26" s="3172" t="s">
        <v>3504</v>
      </c>
      <c r="H26" s="3500">
        <f>'数据-取费表'!AK6</f>
        <v>2E-3</v>
      </c>
      <c r="I26" s="3500"/>
      <c r="J26" s="3196"/>
      <c r="K26" s="3163"/>
      <c r="L26" s="3163"/>
    </row>
    <row r="27" spans="1:16" s="3181" customFormat="1" ht="18" customHeight="1">
      <c r="A27" s="3168" t="s">
        <v>393</v>
      </c>
      <c r="B27" s="3175" t="s">
        <v>3505</v>
      </c>
      <c r="C27" s="3473">
        <f ca="1">ROUND(C7*H27,0)</f>
        <v>137</v>
      </c>
      <c r="D27" s="3474"/>
      <c r="E27" s="3474"/>
      <c r="F27" s="3475"/>
      <c r="G27" s="3172" t="s">
        <v>3506</v>
      </c>
      <c r="H27" s="3501">
        <f>'数据-取费表'!AL6</f>
        <v>1E-3</v>
      </c>
      <c r="I27" s="3501"/>
      <c r="J27" s="3179"/>
      <c r="K27" s="3163"/>
      <c r="L27" s="3163"/>
    </row>
    <row r="28" spans="1:16" s="3181" customFormat="1" ht="18" customHeight="1">
      <c r="A28" s="3168" t="s">
        <v>394</v>
      </c>
      <c r="B28" s="3175" t="s">
        <v>3507</v>
      </c>
      <c r="C28" s="3493" t="s">
        <v>3501</v>
      </c>
      <c r="D28" s="3494"/>
      <c r="E28" s="3495">
        <f>H28</f>
        <v>0.01</v>
      </c>
      <c r="F28" s="3496"/>
      <c r="G28" s="3172" t="s">
        <v>3508</v>
      </c>
      <c r="H28" s="3500">
        <f>'数据-取费表'!AM6</f>
        <v>0.01</v>
      </c>
      <c r="I28" s="3500"/>
      <c r="J28" s="3205"/>
      <c r="K28" s="3163"/>
      <c r="L28" s="3163"/>
      <c r="M28" s="3221"/>
    </row>
    <row r="29" spans="1:16" s="3181" customFormat="1" ht="18" customHeight="1">
      <c r="A29" s="3172" t="s">
        <v>3509</v>
      </c>
      <c r="B29" s="3175" t="s">
        <v>3510</v>
      </c>
      <c r="C29" s="3473">
        <f ca="1">ROUND((C4+C24)/(1-E24),0)</f>
        <v>28210</v>
      </c>
      <c r="D29" s="3474"/>
      <c r="E29" s="3474"/>
      <c r="F29" s="3475"/>
      <c r="G29" s="3476" t="s">
        <v>3511</v>
      </c>
      <c r="H29" s="3476"/>
      <c r="I29" s="3476"/>
      <c r="J29" s="3206" t="s">
        <v>3512</v>
      </c>
      <c r="K29" s="3163"/>
      <c r="L29" s="3163"/>
      <c r="P29" s="3232"/>
    </row>
    <row r="30" spans="1:16" s="3181" customFormat="1" ht="18" customHeight="1">
      <c r="A30" s="3476" t="s">
        <v>3513</v>
      </c>
      <c r="B30" s="3477" t="s">
        <v>3514</v>
      </c>
      <c r="C30" s="3502">
        <f ca="1">ROUND(C29/I30/I31/I3,2)</f>
        <v>2.71</v>
      </c>
      <c r="D30" s="3503"/>
      <c r="E30" s="3503"/>
      <c r="F30" s="3504"/>
      <c r="G30" s="3476" t="s">
        <v>3515</v>
      </c>
      <c r="H30" s="3175" t="s">
        <v>3516</v>
      </c>
      <c r="I30" s="3172">
        <v>365</v>
      </c>
      <c r="J30" s="3207"/>
      <c r="K30" s="3163"/>
      <c r="L30" s="3163"/>
    </row>
    <row r="31" spans="1:16" s="3181" customFormat="1" ht="18" customHeight="1">
      <c r="A31" s="3476"/>
      <c r="B31" s="3477"/>
      <c r="C31" s="3505"/>
      <c r="D31" s="3506"/>
      <c r="E31" s="3506"/>
      <c r="F31" s="3507"/>
      <c r="G31" s="3476"/>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509" t="s">
        <v>3518</v>
      </c>
      <c r="C33" s="3509"/>
      <c r="D33" s="3509"/>
      <c r="E33" s="3509"/>
      <c r="F33" s="3509"/>
      <c r="G33" s="3211"/>
      <c r="H33" s="3212"/>
      <c r="I33" s="3167"/>
      <c r="J33" s="3179"/>
      <c r="K33" s="3163"/>
      <c r="L33" s="3163"/>
    </row>
    <row r="34" spans="1:14" s="3181" customFormat="1" ht="18" customHeight="1">
      <c r="A34" s="3167"/>
      <c r="B34" s="3213" t="s">
        <v>3519</v>
      </c>
      <c r="C34" s="3213" t="s">
        <v>3435</v>
      </c>
      <c r="D34" s="3510" t="s">
        <v>3520</v>
      </c>
      <c r="E34" s="3510"/>
      <c r="F34" s="3510"/>
      <c r="G34" s="3211"/>
      <c r="H34" s="3212"/>
      <c r="I34" s="3167"/>
      <c r="J34" s="3203"/>
      <c r="K34" s="3167"/>
      <c r="L34" s="3167"/>
      <c r="M34" s="3167">
        <v>4217</v>
      </c>
      <c r="N34" s="3181">
        <f>120000/45</f>
        <v>2666.6666666666665</v>
      </c>
    </row>
    <row r="35" spans="1:14">
      <c r="B35" s="3213" t="s">
        <v>3521</v>
      </c>
      <c r="C35" s="3214">
        <v>0.8</v>
      </c>
      <c r="D35" s="3511" t="e">
        <f>'比较法-商业租金'!C48</f>
        <v>#DIV/0!</v>
      </c>
      <c r="E35" s="3511"/>
      <c r="F35" s="3511"/>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511">
        <f ca="1">ROUND(C30,2)</f>
        <v>2.71</v>
      </c>
      <c r="E36" s="3511"/>
      <c r="F36" s="3511"/>
      <c r="G36" s="3211"/>
      <c r="H36" s="3212"/>
      <c r="J36" s="3167"/>
      <c r="K36" s="3167"/>
      <c r="L36" s="3167"/>
      <c r="M36" s="3236">
        <v>3.5000000000000003E-2</v>
      </c>
      <c r="N36" s="3167">
        <f>N35+180</f>
        <v>402.22222222222217</v>
      </c>
    </row>
    <row r="37" spans="1:14" ht="22.5" customHeight="1">
      <c r="B37" s="3510" t="s">
        <v>3523</v>
      </c>
      <c r="C37" s="3510"/>
      <c r="D37" s="3508" t="e">
        <f ca="1">ROUND(C35*D35+C36*D36,2)</f>
        <v>#DIV/0!</v>
      </c>
      <c r="E37" s="3508"/>
      <c r="F37" s="3508"/>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508" t="e">
        <f ca="1">ROUND(D37*1.1,1)</f>
        <v>#DIV/0!</v>
      </c>
      <c r="F38" s="3508"/>
      <c r="G38" s="3211" t="s">
        <v>3526</v>
      </c>
      <c r="H38" s="3216">
        <v>12</v>
      </c>
      <c r="J38" s="3167"/>
      <c r="K38" s="3167"/>
      <c r="L38" s="3167"/>
      <c r="M38" s="3167">
        <f>M37+150</f>
        <v>510</v>
      </c>
    </row>
    <row r="39" spans="1:14" ht="18" customHeight="1">
      <c r="B39" s="3213" t="s">
        <v>3527</v>
      </c>
      <c r="C39" s="3213" t="e">
        <f ca="1">ROUND(C38+H39,1)</f>
        <v>#DIV/0!</v>
      </c>
      <c r="D39" s="3215" t="s">
        <v>3525</v>
      </c>
      <c r="E39" s="3508" t="e">
        <f ca="1">ROUND(E38+H39,1)</f>
        <v>#DIV/0!</v>
      </c>
      <c r="F39" s="3508"/>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68" t="s">
        <v>1591</v>
      </c>
    </row>
    <row r="43" spans="1:7" ht="13.5" customHeight="1">
      <c r="A43" s="734" t="s">
        <v>347</v>
      </c>
      <c r="B43" s="207" t="s">
        <v>1545</v>
      </c>
      <c r="C43" s="230">
        <f ca="1">ROUND(IF('数据-取费表'!B22&lt;=1,C39*F22*'数据-取费表'!B20/2,C39*(POWER((1+F22),'数据-取费表'!B20/2)-1)),0)</f>
        <v>70</v>
      </c>
      <c r="D43" s="230"/>
      <c r="E43" s="230"/>
      <c r="F43" s="231"/>
      <c r="G43" s="3469"/>
    </row>
    <row r="44" spans="1:7" ht="13.5" customHeight="1">
      <c r="A44" s="734" t="s">
        <v>348</v>
      </c>
      <c r="B44" s="207" t="s">
        <v>1546</v>
      </c>
      <c r="C44" s="230">
        <f ca="1">ROUND(IF('数据-取费表'!B22&lt;=1,C40*F22*'数据-取费表'!B20/2,C40*(POWER((1+F22),'数据-取费表'!B20/2)-1)),4)</f>
        <v>2.9999999999999997E-4</v>
      </c>
      <c r="D44" s="230"/>
      <c r="E44" s="230"/>
      <c r="F44" s="231"/>
      <c r="G44" s="3470"/>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14" t="s">
        <v>694</v>
      </c>
      <c r="C6" s="1011">
        <f ca="1">ROUND(F6*F8*F7*(1-F9)/10000,0)</f>
        <v>0</v>
      </c>
      <c r="D6" s="147" t="s">
        <v>2109</v>
      </c>
      <c r="E6" s="294" t="s">
        <v>696</v>
      </c>
      <c r="F6" s="295">
        <f ca="1">INDIRECT("'数据-取费表'!u"&amp;$G$1)</f>
        <v>0</v>
      </c>
      <c r="G6" s="1292"/>
      <c r="H6" s="1006" t="s">
        <v>398</v>
      </c>
      <c r="I6" s="3514" t="s">
        <v>694</v>
      </c>
      <c r="J6" s="293">
        <f ca="1">ROUND(M6*M8*M7*(1-M9)/10000,0)</f>
        <v>0</v>
      </c>
      <c r="K6" s="147" t="s">
        <v>2108</v>
      </c>
      <c r="L6" s="294" t="s">
        <v>696</v>
      </c>
      <c r="M6" s="295">
        <f ca="1">INDIRECT("'数据-取费表'!z"&amp;$G$1)</f>
        <v>0</v>
      </c>
    </row>
    <row r="7" spans="1:37" ht="18" customHeight="1">
      <c r="A7" s="1010"/>
      <c r="B7" s="3515"/>
      <c r="C7" s="1012"/>
      <c r="D7" s="299"/>
      <c r="E7" s="1013" t="s">
        <v>697</v>
      </c>
      <c r="F7" s="295">
        <f ca="1">IF(INDIRECT("'数据-取费表'!ah"&amp;$G$1)="",INDIRECT("'数据-取费表'!k"&amp;$G$1),INDIRECT("'数据-取费表'!ah"&amp;$G$1))</f>
        <v>0</v>
      </c>
      <c r="G7" s="1292"/>
      <c r="H7" s="296"/>
      <c r="I7" s="3515"/>
      <c r="J7" s="298"/>
      <c r="K7" s="299"/>
      <c r="L7" s="294" t="s">
        <v>697</v>
      </c>
      <c r="M7" s="295">
        <f ca="1">F7</f>
        <v>0</v>
      </c>
    </row>
    <row r="8" spans="1:37" ht="18" customHeight="1">
      <c r="A8" s="296"/>
      <c r="B8" s="3515"/>
      <c r="C8" s="298"/>
      <c r="D8" s="299"/>
      <c r="E8" s="294" t="s">
        <v>698</v>
      </c>
      <c r="F8" s="295">
        <f ca="1">INDIRECT("'数据-取费表'!ai"&amp;$G$1)</f>
        <v>0</v>
      </c>
      <c r="G8" s="1292"/>
      <c r="H8" s="296"/>
      <c r="I8" s="3515"/>
      <c r="J8" s="298"/>
      <c r="K8" s="299"/>
      <c r="L8" s="294" t="s">
        <v>698</v>
      </c>
      <c r="M8" s="295">
        <f ca="1">INDIRECT("'数据-取费表'!ai"&amp;$G$1)</f>
        <v>0</v>
      </c>
    </row>
    <row r="9" spans="1:37" ht="18" customHeight="1">
      <c r="A9" s="296"/>
      <c r="B9" s="3516"/>
      <c r="C9" s="298"/>
      <c r="D9" s="299"/>
      <c r="E9" s="294" t="s">
        <v>699</v>
      </c>
      <c r="F9" s="304">
        <f ca="1">INDIRECT("'数据-取费表'!w"&amp;$G$1)</f>
        <v>0</v>
      </c>
      <c r="G9" s="1292"/>
      <c r="H9" s="296"/>
      <c r="I9" s="35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12" t="s">
        <v>837</v>
      </c>
      <c r="L53" s="351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14" t="s">
        <v>694</v>
      </c>
      <c r="C6" s="1011">
        <f ca="1">ROUND(F6*F8*F7*(1-F9),0)</f>
        <v>0</v>
      </c>
      <c r="D6" s="147" t="s">
        <v>2106</v>
      </c>
      <c r="E6" s="294" t="s">
        <v>696</v>
      </c>
      <c r="F6" s="295">
        <f ca="1">INDIRECT("'数据-取费表'!u"&amp;$G$1)</f>
        <v>0</v>
      </c>
      <c r="G6" s="1292"/>
      <c r="H6" s="1006" t="s">
        <v>398</v>
      </c>
      <c r="I6" s="3514" t="s">
        <v>694</v>
      </c>
      <c r="J6" s="293">
        <f ca="1">ROUND(M6*M8*M7*(1-M9),0)</f>
        <v>0</v>
      </c>
      <c r="K6" s="1284" t="s">
        <v>2107</v>
      </c>
      <c r="L6" s="294" t="s">
        <v>696</v>
      </c>
      <c r="M6" s="295">
        <f ca="1">INDIRECT("'数据-取费表'!z"&amp;$G$1)</f>
        <v>0</v>
      </c>
    </row>
    <row r="7" spans="1:37" ht="18" customHeight="1">
      <c r="A7" s="1010"/>
      <c r="B7" s="3515"/>
      <c r="C7" s="1012"/>
      <c r="D7" s="299"/>
      <c r="E7" s="1013" t="s">
        <v>697</v>
      </c>
      <c r="F7" s="295">
        <f ca="1">IF(INDIRECT("'数据-取费表'!ah"&amp;$G$1)="",INDIRECT("'数据-取费表'!k"&amp;$G$1),INDIRECT("'数据-取费表'!ah"&amp;$G$1))</f>
        <v>0</v>
      </c>
      <c r="G7" s="1292"/>
      <c r="H7" s="296"/>
      <c r="I7" s="3515"/>
      <c r="J7" s="298"/>
      <c r="K7" s="299"/>
      <c r="L7" s="294" t="s">
        <v>697</v>
      </c>
      <c r="M7" s="295">
        <f ca="1">F7</f>
        <v>0</v>
      </c>
    </row>
    <row r="8" spans="1:37" ht="18" customHeight="1">
      <c r="A8" s="296"/>
      <c r="B8" s="3515"/>
      <c r="C8" s="298"/>
      <c r="D8" s="299"/>
      <c r="E8" s="294" t="s">
        <v>698</v>
      </c>
      <c r="F8" s="295">
        <f ca="1">INDIRECT("'数据-取费表'!ai"&amp;$G$1)</f>
        <v>0</v>
      </c>
      <c r="G8" s="1292"/>
      <c r="H8" s="296"/>
      <c r="I8" s="3515"/>
      <c r="J8" s="298"/>
      <c r="K8" s="299"/>
      <c r="L8" s="294" t="s">
        <v>698</v>
      </c>
      <c r="M8" s="295">
        <f ca="1">INDIRECT("'数据-取费表'!ai"&amp;$G$1)</f>
        <v>0</v>
      </c>
    </row>
    <row r="9" spans="1:37" ht="18" customHeight="1">
      <c r="A9" s="296"/>
      <c r="B9" s="3516"/>
      <c r="C9" s="298"/>
      <c r="D9" s="299"/>
      <c r="E9" s="294" t="s">
        <v>699</v>
      </c>
      <c r="F9" s="304">
        <f ca="1">INDIRECT("'数据-取费表'!w"&amp;$G$1)</f>
        <v>0</v>
      </c>
      <c r="G9" s="1292"/>
      <c r="H9" s="296"/>
      <c r="I9" s="35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12" t="s">
        <v>837</v>
      </c>
      <c r="L53" s="351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17" t="s">
        <v>2315</v>
      </c>
      <c r="K2" s="3518"/>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19" t="s">
        <v>2325</v>
      </c>
      <c r="K3" s="3520"/>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19" t="s">
        <v>2327</v>
      </c>
      <c r="K4" s="3520"/>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21" t="s">
        <v>2331</v>
      </c>
      <c r="B6" s="3522"/>
      <c r="C6" s="3523"/>
      <c r="D6" s="2621"/>
      <c r="E6" s="2622"/>
      <c r="F6" s="2623"/>
      <c r="G6" s="2624"/>
      <c r="H6" s="2599"/>
      <c r="I6" s="2600"/>
      <c r="J6" s="3524">
        <v>1</v>
      </c>
      <c r="K6" s="3525"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24"/>
      <c r="K7" s="3526"/>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28" t="s">
        <v>2345</v>
      </c>
      <c r="C8" s="3529"/>
      <c r="D8" s="2640" t="s">
        <v>2346</v>
      </c>
      <c r="E8" s="2641" t="s">
        <v>2347</v>
      </c>
      <c r="F8" s="2642" t="s">
        <v>2348</v>
      </c>
      <c r="G8" s="2643"/>
      <c r="H8" s="2599"/>
      <c r="I8" s="2600"/>
      <c r="J8" s="3524"/>
      <c r="K8" s="3526"/>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28" t="s">
        <v>2351</v>
      </c>
      <c r="C9" s="3529"/>
      <c r="D9" s="2640">
        <f>ROUND(D6*E9,0)</f>
        <v>0</v>
      </c>
      <c r="E9" s="2644"/>
      <c r="F9" s="2645" t="s">
        <v>2352</v>
      </c>
      <c r="G9" s="2624"/>
      <c r="H9" s="2599"/>
      <c r="I9" s="2600"/>
      <c r="J9" s="3524"/>
      <c r="K9" s="3526"/>
      <c r="L9" s="2634" t="s">
        <v>2353</v>
      </c>
      <c r="M9" s="2635"/>
      <c r="N9" s="2611"/>
      <c r="O9" s="2636"/>
      <c r="P9" s="2636"/>
      <c r="Q9" s="2637">
        <v>365</v>
      </c>
      <c r="R9" s="2638">
        <f t="shared" si="0"/>
        <v>0</v>
      </c>
      <c r="S9" s="2592"/>
      <c r="T9" s="2592"/>
      <c r="U9" s="2592"/>
      <c r="V9" s="2600"/>
    </row>
    <row r="10" spans="1:22" s="2604" customFormat="1" ht="13.15" customHeight="1">
      <c r="A10" s="2639">
        <v>2</v>
      </c>
      <c r="B10" s="3528" t="s">
        <v>2354</v>
      </c>
      <c r="C10" s="3529"/>
      <c r="D10" s="2640">
        <f>ROUND(D6*E10,0)</f>
        <v>0</v>
      </c>
      <c r="E10" s="2644"/>
      <c r="F10" s="2645" t="s">
        <v>2355</v>
      </c>
      <c r="G10" s="2624"/>
      <c r="H10" s="2599"/>
      <c r="I10" s="2600"/>
      <c r="J10" s="3524"/>
      <c r="K10" s="3526"/>
      <c r="L10" s="2634" t="s">
        <v>2356</v>
      </c>
      <c r="M10" s="2635"/>
      <c r="N10" s="2611"/>
      <c r="O10" s="2636"/>
      <c r="P10" s="2636"/>
      <c r="Q10" s="2637">
        <v>365</v>
      </c>
      <c r="R10" s="2638">
        <f t="shared" si="0"/>
        <v>0</v>
      </c>
      <c r="S10" s="2592"/>
      <c r="T10" s="2592"/>
      <c r="U10" s="2592"/>
      <c r="V10" s="2600"/>
    </row>
    <row r="11" spans="1:22" s="2604" customFormat="1" ht="13.15" customHeight="1">
      <c r="A11" s="2639">
        <v>3</v>
      </c>
      <c r="B11" s="3528" t="s">
        <v>2357</v>
      </c>
      <c r="C11" s="3529"/>
      <c r="D11" s="2640">
        <f>D12+D14+D15+D16</f>
        <v>0</v>
      </c>
      <c r="E11" s="2646" t="e">
        <f>D11/D6</f>
        <v>#DIV/0!</v>
      </c>
      <c r="F11" s="2642"/>
      <c r="G11" s="2643"/>
      <c r="H11" s="2599"/>
      <c r="I11" s="2600"/>
      <c r="J11" s="3524"/>
      <c r="K11" s="3526"/>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30" t="s">
        <v>2360</v>
      </c>
      <c r="C12" s="3531"/>
      <c r="D12" s="2648">
        <f>ROUND(D13*1.2%*(1-30%),0)</f>
        <v>0</v>
      </c>
      <c r="E12" s="2649">
        <v>1.2E-2</v>
      </c>
      <c r="F12" s="2642" t="s">
        <v>2361</v>
      </c>
      <c r="G12" s="2643"/>
      <c r="H12" s="2599"/>
      <c r="I12" s="2600"/>
      <c r="J12" s="3524"/>
      <c r="K12" s="3526"/>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24"/>
      <c r="K13" s="3526"/>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30" t="s">
        <v>2366</v>
      </c>
      <c r="C14" s="3531"/>
      <c r="D14" s="2648">
        <f>ROUND(E14*B5/10000,0)</f>
        <v>0</v>
      </c>
      <c r="E14" s="2637"/>
      <c r="F14" s="2642" t="s">
        <v>2367</v>
      </c>
      <c r="G14" s="2643"/>
      <c r="H14" s="2599"/>
      <c r="I14" s="2600"/>
      <c r="J14" s="3524"/>
      <c r="K14" s="3527"/>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30" t="s">
        <v>2370</v>
      </c>
      <c r="C15" s="3531"/>
      <c r="D15" s="2648">
        <f>ROUND(D6*E15,0)</f>
        <v>0</v>
      </c>
      <c r="E15" s="2649">
        <v>5.5E-2</v>
      </c>
      <c r="F15" s="2642" t="s">
        <v>2371</v>
      </c>
      <c r="G15" s="2624"/>
      <c r="H15" s="2599"/>
      <c r="I15" s="2600"/>
      <c r="J15" s="3524">
        <v>2</v>
      </c>
      <c r="K15" s="3525"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30" t="s">
        <v>2379</v>
      </c>
      <c r="C16" s="3531"/>
      <c r="D16" s="2659">
        <f>D6*E16</f>
        <v>0</v>
      </c>
      <c r="E16" s="2660"/>
      <c r="F16" s="2645" t="s">
        <v>2380</v>
      </c>
      <c r="G16" s="2624"/>
      <c r="H16" s="2599"/>
      <c r="I16" s="2600"/>
      <c r="J16" s="3524"/>
      <c r="K16" s="3526"/>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32" t="s">
        <v>2382</v>
      </c>
      <c r="C17" s="3533"/>
      <c r="D17" s="2662">
        <f>ROUND(D6*E17,0)</f>
        <v>0</v>
      </c>
      <c r="E17" s="2663"/>
      <c r="F17" s="2664" t="s">
        <v>2383</v>
      </c>
      <c r="G17" s="2624"/>
      <c r="H17" s="2599"/>
      <c r="I17" s="2600"/>
      <c r="J17" s="3524"/>
      <c r="K17" s="3526"/>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24"/>
      <c r="K18" s="3526"/>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24"/>
      <c r="K19" s="3527"/>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24">
        <v>3</v>
      </c>
      <c r="K20" s="3525"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24"/>
      <c r="K21" s="3526"/>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24"/>
      <c r="K22" s="3526"/>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24"/>
      <c r="K23" s="3526"/>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24"/>
      <c r="K24" s="3527"/>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34">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3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17" t="s">
        <v>2315</v>
      </c>
      <c r="K32" s="3518"/>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19" t="s">
        <v>2325</v>
      </c>
      <c r="K33" s="3520"/>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19" t="s">
        <v>2327</v>
      </c>
      <c r="K34" s="352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24">
        <v>1</v>
      </c>
      <c r="K36" s="3525"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24"/>
      <c r="K37" s="3526"/>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24"/>
      <c r="K38" s="3526"/>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24"/>
      <c r="K39" s="3526"/>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24"/>
      <c r="K40" s="3527"/>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34">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3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36" t="s">
        <v>1654</v>
      </c>
      <c r="C5" s="3537"/>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56" t="s">
        <v>1667</v>
      </c>
      <c r="D4" s="3557"/>
      <c r="E4" s="3558" t="s">
        <v>1668</v>
      </c>
      <c r="F4" s="3559"/>
      <c r="G4" s="3556" t="s">
        <v>1669</v>
      </c>
      <c r="H4" s="3557"/>
      <c r="I4" s="3556" t="s">
        <v>1670</v>
      </c>
      <c r="J4" s="3557"/>
      <c r="K4" s="1744" t="s">
        <v>1671</v>
      </c>
      <c r="L4" s="2486"/>
      <c r="M4" s="2487"/>
      <c r="N4" s="2487"/>
      <c r="O4" s="2487"/>
      <c r="P4" s="3560" t="s">
        <v>1672</v>
      </c>
      <c r="Q4" s="3561"/>
      <c r="R4" s="3543" t="s">
        <v>1668</v>
      </c>
      <c r="S4" s="3544"/>
      <c r="T4" s="3543" t="s">
        <v>1669</v>
      </c>
      <c r="U4" s="3544"/>
      <c r="V4" s="3568" t="s">
        <v>1670</v>
      </c>
      <c r="W4" s="3568"/>
      <c r="X4" s="1265"/>
      <c r="Y4" s="3543" t="s">
        <v>1672</v>
      </c>
      <c r="Z4" s="3544"/>
      <c r="AA4" s="3538" t="s">
        <v>1668</v>
      </c>
      <c r="AB4" s="3538" t="s">
        <v>1669</v>
      </c>
      <c r="AC4" s="3538" t="s">
        <v>1670</v>
      </c>
    </row>
    <row r="5" spans="1:29" ht="15">
      <c r="A5" s="348"/>
      <c r="B5" s="349"/>
      <c r="C5" s="3549" t="s">
        <v>1673</v>
      </c>
      <c r="D5" s="3550"/>
      <c r="E5" s="3547" t="s">
        <v>1674</v>
      </c>
      <c r="F5" s="3548"/>
      <c r="G5" s="3549" t="s">
        <v>1675</v>
      </c>
      <c r="H5" s="3550"/>
      <c r="I5" s="3549" t="s">
        <v>1676</v>
      </c>
      <c r="J5" s="3550"/>
      <c r="K5" s="1745"/>
      <c r="L5" s="2486"/>
      <c r="M5" s="2487"/>
      <c r="N5" s="2487"/>
      <c r="O5" s="2487"/>
      <c r="P5" s="3562"/>
      <c r="Q5" s="3563"/>
      <c r="R5" s="3545"/>
      <c r="S5" s="3546"/>
      <c r="T5" s="3545"/>
      <c r="U5" s="3546"/>
      <c r="V5" s="3568"/>
      <c r="W5" s="3568"/>
      <c r="X5" s="1265"/>
      <c r="Y5" s="3545"/>
      <c r="Z5" s="3546"/>
      <c r="AA5" s="3539"/>
      <c r="AB5" s="3539"/>
      <c r="AC5" s="3539"/>
    </row>
    <row r="6" spans="1:29" ht="15.75" thickBot="1">
      <c r="A6" s="350"/>
      <c r="B6" s="351"/>
      <c r="C6" s="3551" t="s">
        <v>1677</v>
      </c>
      <c r="D6" s="3552"/>
      <c r="E6" s="3553" t="s">
        <v>1677</v>
      </c>
      <c r="F6" s="3554"/>
      <c r="G6" s="3551" t="s">
        <v>1677</v>
      </c>
      <c r="H6" s="3552"/>
      <c r="I6" s="3551" t="s">
        <v>1677</v>
      </c>
      <c r="J6" s="3552"/>
      <c r="K6" s="1745" t="s">
        <v>1678</v>
      </c>
      <c r="L6" s="2486"/>
      <c r="M6" s="2487"/>
      <c r="N6" s="2487"/>
      <c r="O6" s="2487"/>
      <c r="P6" s="3564"/>
      <c r="Q6" s="3565"/>
      <c r="R6" s="3545"/>
      <c r="S6" s="3546"/>
      <c r="T6" s="3566"/>
      <c r="U6" s="3567"/>
      <c r="V6" s="3568"/>
      <c r="W6" s="3568"/>
      <c r="X6" s="1265"/>
      <c r="Y6" s="3566"/>
      <c r="Z6" s="3567"/>
      <c r="AA6" s="3540"/>
      <c r="AB6" s="3540"/>
      <c r="AC6" s="3540"/>
    </row>
    <row r="7" spans="1:29" s="102" customFormat="1" ht="15.75" thickBot="1">
      <c r="A7" s="352" t="s">
        <v>1679</v>
      </c>
      <c r="B7" s="353"/>
      <c r="C7" s="354">
        <f>'数据-取费表'!B2</f>
        <v>45880</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41" t="s">
        <v>1680</v>
      </c>
      <c r="Q7" s="3569"/>
      <c r="R7" s="664" t="s">
        <v>20</v>
      </c>
      <c r="S7" s="665">
        <f t="shared" ref="S7:S15" si="0">F7</f>
        <v>0</v>
      </c>
      <c r="T7" s="664" t="s">
        <v>20</v>
      </c>
      <c r="U7" s="665">
        <f t="shared" ref="U7:U15" si="1">H7</f>
        <v>0</v>
      </c>
      <c r="V7" s="664" t="s">
        <v>20</v>
      </c>
      <c r="W7" s="665">
        <f t="shared" ref="W7:W15" si="2">J7</f>
        <v>0</v>
      </c>
      <c r="X7" s="666"/>
      <c r="Y7" s="3541" t="s">
        <v>1680</v>
      </c>
      <c r="Z7" s="354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41" t="s">
        <v>1683</v>
      </c>
      <c r="Q8" s="3542"/>
      <c r="R8" s="664" t="s">
        <v>20</v>
      </c>
      <c r="S8" s="665">
        <f t="shared" si="0"/>
        <v>100</v>
      </c>
      <c r="T8" s="664" t="s">
        <v>20</v>
      </c>
      <c r="U8" s="665">
        <f t="shared" si="1"/>
        <v>100</v>
      </c>
      <c r="V8" s="664" t="s">
        <v>20</v>
      </c>
      <c r="W8" s="665">
        <f t="shared" si="2"/>
        <v>100</v>
      </c>
      <c r="X8" s="666"/>
      <c r="Y8" s="3541" t="s">
        <v>1683</v>
      </c>
      <c r="Z8" s="354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55" t="s">
        <v>1686</v>
      </c>
      <c r="Q9" s="530" t="str">
        <f t="shared" ref="Q9:Q15" si="6">B9</f>
        <v>用途</v>
      </c>
      <c r="R9" s="664" t="s">
        <v>14</v>
      </c>
      <c r="S9" s="665">
        <f t="shared" si="0"/>
        <v>100</v>
      </c>
      <c r="T9" s="664" t="s">
        <v>14</v>
      </c>
      <c r="U9" s="665">
        <f t="shared" si="1"/>
        <v>100</v>
      </c>
      <c r="V9" s="664" t="s">
        <v>14</v>
      </c>
      <c r="W9" s="665">
        <f t="shared" si="2"/>
        <v>100</v>
      </c>
      <c r="X9" s="666"/>
      <c r="Y9" s="34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55"/>
      <c r="Q10" s="530" t="str">
        <f t="shared" si="6"/>
        <v>土地使用年限（年）</v>
      </c>
      <c r="R10" s="664" t="s">
        <v>14</v>
      </c>
      <c r="S10" s="665">
        <f t="shared" si="0"/>
        <v>100</v>
      </c>
      <c r="T10" s="664" t="s">
        <v>14</v>
      </c>
      <c r="U10" s="665">
        <f t="shared" si="1"/>
        <v>100</v>
      </c>
      <c r="V10" s="664" t="s">
        <v>14</v>
      </c>
      <c r="W10" s="665">
        <f t="shared" si="2"/>
        <v>100</v>
      </c>
      <c r="X10" s="666"/>
      <c r="Y10" s="34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55"/>
      <c r="Q11" s="530" t="str">
        <f t="shared" si="6"/>
        <v>容积率</v>
      </c>
      <c r="R11" s="664" t="s">
        <v>18</v>
      </c>
      <c r="S11" s="665" t="e">
        <f t="shared" si="0"/>
        <v>#N/A</v>
      </c>
      <c r="T11" s="664" t="s">
        <v>18</v>
      </c>
      <c r="U11" s="665" t="e">
        <f t="shared" si="1"/>
        <v>#N/A</v>
      </c>
      <c r="V11" s="664" t="s">
        <v>18</v>
      </c>
      <c r="W11" s="665" t="e">
        <f t="shared" si="2"/>
        <v>#N/A</v>
      </c>
      <c r="X11" s="666"/>
      <c r="Y11" s="34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55"/>
      <c r="Q12" s="530">
        <f t="shared" si="6"/>
        <v>111</v>
      </c>
      <c r="R12" s="664" t="s">
        <v>18</v>
      </c>
      <c r="S12" s="665">
        <f t="shared" si="0"/>
        <v>100</v>
      </c>
      <c r="T12" s="664" t="s">
        <v>18</v>
      </c>
      <c r="U12" s="665">
        <f t="shared" si="1"/>
        <v>100</v>
      </c>
      <c r="V12" s="664" t="s">
        <v>18</v>
      </c>
      <c r="W12" s="665">
        <f t="shared" si="2"/>
        <v>100</v>
      </c>
      <c r="X12" s="666"/>
      <c r="Y12" s="34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55"/>
      <c r="Q13" s="530">
        <f t="shared" si="6"/>
        <v>111</v>
      </c>
      <c r="R13" s="664" t="s">
        <v>18</v>
      </c>
      <c r="S13" s="665">
        <f t="shared" si="0"/>
        <v>100</v>
      </c>
      <c r="T13" s="664" t="s">
        <v>18</v>
      </c>
      <c r="U13" s="665">
        <f t="shared" si="1"/>
        <v>100</v>
      </c>
      <c r="V13" s="664" t="s">
        <v>18</v>
      </c>
      <c r="W13" s="665">
        <f t="shared" si="2"/>
        <v>100</v>
      </c>
      <c r="X13" s="666"/>
      <c r="Y13" s="34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55"/>
      <c r="Q14" s="530">
        <f t="shared" si="6"/>
        <v>111</v>
      </c>
      <c r="R14" s="664" t="s">
        <v>18</v>
      </c>
      <c r="S14" s="665">
        <f t="shared" si="0"/>
        <v>100</v>
      </c>
      <c r="T14" s="664" t="s">
        <v>18</v>
      </c>
      <c r="U14" s="665">
        <f t="shared" si="1"/>
        <v>100</v>
      </c>
      <c r="V14" s="664" t="s">
        <v>18</v>
      </c>
      <c r="W14" s="665">
        <f t="shared" si="2"/>
        <v>100</v>
      </c>
      <c r="X14" s="666"/>
      <c r="Y14" s="34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81" t="s">
        <v>1691</v>
      </c>
      <c r="Q15" s="1263" t="str">
        <f t="shared" si="6"/>
        <v>居住社区成熟度</v>
      </c>
      <c r="R15" s="667" t="s">
        <v>18</v>
      </c>
      <c r="S15" s="668">
        <f t="shared" si="0"/>
        <v>100</v>
      </c>
      <c r="T15" s="667" t="s">
        <v>18</v>
      </c>
      <c r="U15" s="668">
        <f t="shared" si="1"/>
        <v>100</v>
      </c>
      <c r="V15" s="667" t="s">
        <v>18</v>
      </c>
      <c r="W15" s="668">
        <f t="shared" si="2"/>
        <v>100</v>
      </c>
      <c r="X15" s="1265"/>
      <c r="Y15" s="357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82"/>
      <c r="Q16" s="1263"/>
      <c r="R16" s="667"/>
      <c r="S16" s="668"/>
      <c r="T16" s="667"/>
      <c r="U16" s="668"/>
      <c r="V16" s="667"/>
      <c r="W16" s="668"/>
      <c r="X16" s="1265"/>
      <c r="Y16" s="3575"/>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82"/>
      <c r="Q17" s="1263" t="str">
        <f>B17</f>
        <v>交通便捷度</v>
      </c>
      <c r="R17" s="667" t="s">
        <v>18</v>
      </c>
      <c r="S17" s="668">
        <f>F17</f>
        <v>100</v>
      </c>
      <c r="T17" s="667" t="s">
        <v>18</v>
      </c>
      <c r="U17" s="668">
        <f>H17</f>
        <v>100</v>
      </c>
      <c r="V17" s="667" t="s">
        <v>18</v>
      </c>
      <c r="W17" s="668">
        <f>J17</f>
        <v>100</v>
      </c>
      <c r="X17" s="1265"/>
      <c r="Y17" s="357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82"/>
      <c r="Q18" s="1263"/>
      <c r="R18" s="667"/>
      <c r="S18" s="668"/>
      <c r="T18" s="667"/>
      <c r="U18" s="668"/>
      <c r="V18" s="667"/>
      <c r="W18" s="668"/>
      <c r="X18" s="1265"/>
      <c r="Y18" s="3575"/>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82"/>
      <c r="Q19" s="1263" t="str">
        <f>B19</f>
        <v>公共配套设施</v>
      </c>
      <c r="R19" s="667" t="s">
        <v>18</v>
      </c>
      <c r="S19" s="668">
        <f>F19</f>
        <v>100</v>
      </c>
      <c r="T19" s="667" t="s">
        <v>18</v>
      </c>
      <c r="U19" s="668">
        <f>H19</f>
        <v>100</v>
      </c>
      <c r="V19" s="667" t="s">
        <v>18</v>
      </c>
      <c r="W19" s="668">
        <f>J19</f>
        <v>100</v>
      </c>
      <c r="X19" s="1265"/>
      <c r="Y19" s="357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82"/>
      <c r="Q20" s="1263"/>
      <c r="R20" s="667"/>
      <c r="S20" s="668"/>
      <c r="T20" s="667"/>
      <c r="U20" s="668"/>
      <c r="V20" s="667"/>
      <c r="W20" s="668"/>
      <c r="X20" s="1265"/>
      <c r="Y20" s="357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82"/>
      <c r="Q21" s="1263" t="str">
        <f>B21</f>
        <v>基础设施水平</v>
      </c>
      <c r="R21" s="667" t="s">
        <v>14</v>
      </c>
      <c r="S21" s="668">
        <f>F21</f>
        <v>100</v>
      </c>
      <c r="T21" s="667" t="s">
        <v>14</v>
      </c>
      <c r="U21" s="668">
        <f>H21</f>
        <v>100</v>
      </c>
      <c r="V21" s="667" t="s">
        <v>14</v>
      </c>
      <c r="W21" s="668">
        <f>J21</f>
        <v>100</v>
      </c>
      <c r="X21" s="1265"/>
      <c r="Y21" s="35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82"/>
      <c r="Q22" s="1263"/>
      <c r="R22" s="667"/>
      <c r="S22" s="668"/>
      <c r="T22" s="667"/>
      <c r="U22" s="668"/>
      <c r="V22" s="667"/>
      <c r="W22" s="668"/>
      <c r="X22" s="1265"/>
      <c r="Y22" s="3575"/>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82"/>
      <c r="Q23" s="1263" t="str">
        <f>B23</f>
        <v>自然及人文环境</v>
      </c>
      <c r="R23" s="667" t="s">
        <v>18</v>
      </c>
      <c r="S23" s="668">
        <f>F23</f>
        <v>100</v>
      </c>
      <c r="T23" s="667" t="s">
        <v>18</v>
      </c>
      <c r="U23" s="668">
        <f>H23</f>
        <v>100</v>
      </c>
      <c r="V23" s="667" t="s">
        <v>18</v>
      </c>
      <c r="W23" s="668">
        <f>J23</f>
        <v>100</v>
      </c>
      <c r="X23" s="1265"/>
      <c r="Y23" s="357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82"/>
      <c r="Q24" s="1263"/>
      <c r="R24" s="667"/>
      <c r="S24" s="668"/>
      <c r="T24" s="667"/>
      <c r="U24" s="668"/>
      <c r="V24" s="667"/>
      <c r="W24" s="668"/>
      <c r="X24" s="1265"/>
      <c r="Y24" s="357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8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7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82"/>
      <c r="Q26" s="1263" t="str">
        <f t="shared" si="11"/>
        <v>朝向</v>
      </c>
      <c r="R26" s="667" t="s">
        <v>18</v>
      </c>
      <c r="S26" s="668">
        <f t="shared" si="12"/>
        <v>100</v>
      </c>
      <c r="T26" s="667" t="s">
        <v>18</v>
      </c>
      <c r="U26" s="668">
        <f t="shared" si="13"/>
        <v>100</v>
      </c>
      <c r="V26" s="667" t="s">
        <v>18</v>
      </c>
      <c r="W26" s="668">
        <f t="shared" si="14"/>
        <v>100</v>
      </c>
      <c r="X26" s="1265"/>
      <c r="Y26" s="357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82"/>
      <c r="Q27" s="530">
        <f t="shared" si="11"/>
        <v>111</v>
      </c>
      <c r="R27" s="664" t="s">
        <v>18</v>
      </c>
      <c r="S27" s="665">
        <f t="shared" si="12"/>
        <v>100</v>
      </c>
      <c r="T27" s="664" t="s">
        <v>18</v>
      </c>
      <c r="U27" s="665">
        <f t="shared" si="13"/>
        <v>100</v>
      </c>
      <c r="V27" s="664" t="s">
        <v>18</v>
      </c>
      <c r="W27" s="665">
        <f t="shared" si="14"/>
        <v>100</v>
      </c>
      <c r="X27" s="666"/>
      <c r="Y27" s="357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82"/>
      <c r="Q28" s="1263">
        <f t="shared" si="11"/>
        <v>111</v>
      </c>
      <c r="R28" s="667" t="s">
        <v>18</v>
      </c>
      <c r="S28" s="668">
        <f t="shared" si="12"/>
        <v>100</v>
      </c>
      <c r="T28" s="667" t="s">
        <v>18</v>
      </c>
      <c r="U28" s="668">
        <f t="shared" si="13"/>
        <v>100</v>
      </c>
      <c r="V28" s="667" t="s">
        <v>18</v>
      </c>
      <c r="W28" s="668">
        <f t="shared" si="14"/>
        <v>100</v>
      </c>
      <c r="X28" s="1265"/>
      <c r="Y28" s="35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82"/>
      <c r="Q29" s="1263">
        <f t="shared" si="11"/>
        <v>111</v>
      </c>
      <c r="R29" s="667" t="s">
        <v>18</v>
      </c>
      <c r="S29" s="668">
        <f t="shared" si="12"/>
        <v>100</v>
      </c>
      <c r="T29" s="667" t="s">
        <v>18</v>
      </c>
      <c r="U29" s="668">
        <f t="shared" si="13"/>
        <v>100</v>
      </c>
      <c r="V29" s="667" t="s">
        <v>18</v>
      </c>
      <c r="W29" s="668">
        <f t="shared" si="14"/>
        <v>100</v>
      </c>
      <c r="X29" s="1265"/>
      <c r="Y29" s="35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82"/>
      <c r="Q30" s="1263">
        <f t="shared" si="11"/>
        <v>111</v>
      </c>
      <c r="R30" s="667" t="s">
        <v>18</v>
      </c>
      <c r="S30" s="668">
        <f t="shared" si="12"/>
        <v>100</v>
      </c>
      <c r="T30" s="667" t="s">
        <v>18</v>
      </c>
      <c r="U30" s="668">
        <f t="shared" si="13"/>
        <v>100</v>
      </c>
      <c r="V30" s="667" t="s">
        <v>18</v>
      </c>
      <c r="W30" s="668">
        <f t="shared" si="14"/>
        <v>100</v>
      </c>
      <c r="X30" s="1265"/>
      <c r="Y30" s="357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82"/>
      <c r="Q31" s="1263">
        <f t="shared" si="11"/>
        <v>111</v>
      </c>
      <c r="R31" s="667" t="s">
        <v>18</v>
      </c>
      <c r="S31" s="668">
        <f t="shared" si="12"/>
        <v>100</v>
      </c>
      <c r="T31" s="667" t="s">
        <v>18</v>
      </c>
      <c r="U31" s="668">
        <f t="shared" si="13"/>
        <v>100</v>
      </c>
      <c r="V31" s="667" t="s">
        <v>18</v>
      </c>
      <c r="W31" s="668">
        <f t="shared" si="14"/>
        <v>100</v>
      </c>
      <c r="X31" s="1265"/>
      <c r="Y31" s="357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76" t="s">
        <v>1696</v>
      </c>
      <c r="Q32" s="1263" t="str">
        <f t="shared" si="11"/>
        <v>建筑类型</v>
      </c>
      <c r="R32" s="667" t="s">
        <v>18</v>
      </c>
      <c r="S32" s="668">
        <f t="shared" si="12"/>
        <v>100</v>
      </c>
      <c r="T32" s="667" t="s">
        <v>18</v>
      </c>
      <c r="U32" s="668">
        <f t="shared" si="13"/>
        <v>100</v>
      </c>
      <c r="V32" s="667" t="s">
        <v>18</v>
      </c>
      <c r="W32" s="668">
        <f t="shared" si="14"/>
        <v>100</v>
      </c>
      <c r="X32" s="1265"/>
      <c r="Y32" s="357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77"/>
      <c r="Q33" s="531" t="str">
        <f t="shared" si="11"/>
        <v>项目建筑规模</v>
      </c>
      <c r="R33" s="669" t="s">
        <v>18</v>
      </c>
      <c r="S33" s="670" t="e">
        <f t="shared" si="12"/>
        <v>#N/A</v>
      </c>
      <c r="T33" s="669" t="s">
        <v>18</v>
      </c>
      <c r="U33" s="670" t="e">
        <f t="shared" si="13"/>
        <v>#N/A</v>
      </c>
      <c r="V33" s="669" t="s">
        <v>18</v>
      </c>
      <c r="W33" s="670" t="e">
        <f t="shared" si="14"/>
        <v>#N/A</v>
      </c>
      <c r="X33" s="671"/>
      <c r="Y33" s="357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77"/>
      <c r="Q34" s="1263" t="str">
        <f t="shared" si="11"/>
        <v>建筑结构</v>
      </c>
      <c r="R34" s="667" t="s">
        <v>18</v>
      </c>
      <c r="S34" s="668">
        <f t="shared" si="12"/>
        <v>100</v>
      </c>
      <c r="T34" s="667" t="s">
        <v>18</v>
      </c>
      <c r="U34" s="668">
        <f t="shared" si="13"/>
        <v>100</v>
      </c>
      <c r="V34" s="667" t="s">
        <v>18</v>
      </c>
      <c r="W34" s="668">
        <f t="shared" si="14"/>
        <v>100</v>
      </c>
      <c r="X34" s="1265"/>
      <c r="Y34" s="357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77"/>
      <c r="Q35" s="1263" t="str">
        <f t="shared" si="11"/>
        <v>建筑品质</v>
      </c>
      <c r="R35" s="667" t="s">
        <v>18</v>
      </c>
      <c r="S35" s="668">
        <f t="shared" si="12"/>
        <v>100</v>
      </c>
      <c r="T35" s="667" t="s">
        <v>18</v>
      </c>
      <c r="U35" s="668">
        <f t="shared" si="13"/>
        <v>100</v>
      </c>
      <c r="V35" s="667" t="s">
        <v>18</v>
      </c>
      <c r="W35" s="668">
        <f t="shared" si="14"/>
        <v>100</v>
      </c>
      <c r="X35" s="1265"/>
      <c r="Y35" s="357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77"/>
      <c r="Q36" s="1263" t="str">
        <f t="shared" si="11"/>
        <v>公共部分装修</v>
      </c>
      <c r="R36" s="667" t="s">
        <v>18</v>
      </c>
      <c r="S36" s="668">
        <f t="shared" si="12"/>
        <v>100</v>
      </c>
      <c r="T36" s="667" t="s">
        <v>18</v>
      </c>
      <c r="U36" s="668">
        <f t="shared" si="13"/>
        <v>100</v>
      </c>
      <c r="V36" s="667" t="s">
        <v>18</v>
      </c>
      <c r="W36" s="668">
        <f t="shared" si="14"/>
        <v>100</v>
      </c>
      <c r="X36" s="1265"/>
      <c r="Y36" s="357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77"/>
      <c r="Q37" s="530" t="str">
        <f t="shared" si="11"/>
        <v>成新度</v>
      </c>
      <c r="R37" s="664" t="s">
        <v>18</v>
      </c>
      <c r="S37" s="665" t="e">
        <f t="shared" si="12"/>
        <v>#N/A</v>
      </c>
      <c r="T37" s="664" t="s">
        <v>18</v>
      </c>
      <c r="U37" s="665" t="e">
        <f t="shared" si="13"/>
        <v>#N/A</v>
      </c>
      <c r="V37" s="664" t="s">
        <v>18</v>
      </c>
      <c r="W37" s="665" t="e">
        <f t="shared" si="14"/>
        <v>#N/A</v>
      </c>
      <c r="X37" s="666"/>
      <c r="Y37" s="357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77" t="s">
        <v>1696</v>
      </c>
      <c r="Q38" s="1263" t="str">
        <f t="shared" si="11"/>
        <v>物业管理</v>
      </c>
      <c r="R38" s="667" t="s">
        <v>18</v>
      </c>
      <c r="S38" s="668">
        <f t="shared" si="12"/>
        <v>100</v>
      </c>
      <c r="T38" s="667" t="s">
        <v>18</v>
      </c>
      <c r="U38" s="668">
        <f t="shared" si="13"/>
        <v>100</v>
      </c>
      <c r="V38" s="667" t="s">
        <v>18</v>
      </c>
      <c r="W38" s="668">
        <f t="shared" si="14"/>
        <v>100</v>
      </c>
      <c r="X38" s="1265"/>
      <c r="Y38" s="357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77"/>
      <c r="Q39" s="1263" t="str">
        <f t="shared" si="11"/>
        <v>市政基础设施</v>
      </c>
      <c r="R39" s="667" t="s">
        <v>18</v>
      </c>
      <c r="S39" s="668">
        <f t="shared" si="12"/>
        <v>100</v>
      </c>
      <c r="T39" s="667" t="s">
        <v>18</v>
      </c>
      <c r="U39" s="668">
        <f t="shared" si="13"/>
        <v>100</v>
      </c>
      <c r="V39" s="667" t="s">
        <v>18</v>
      </c>
      <c r="W39" s="668">
        <f t="shared" si="14"/>
        <v>100</v>
      </c>
      <c r="X39" s="1265"/>
      <c r="Y39" s="357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77"/>
      <c r="Q40" s="1263" t="str">
        <f t="shared" si="11"/>
        <v>房型</v>
      </c>
      <c r="R40" s="667" t="s">
        <v>18</v>
      </c>
      <c r="S40" s="668">
        <f t="shared" si="12"/>
        <v>100</v>
      </c>
      <c r="T40" s="667" t="s">
        <v>18</v>
      </c>
      <c r="U40" s="668">
        <f t="shared" si="13"/>
        <v>100</v>
      </c>
      <c r="V40" s="667" t="s">
        <v>18</v>
      </c>
      <c r="W40" s="668">
        <f t="shared" si="14"/>
        <v>100</v>
      </c>
      <c r="X40" s="1265"/>
      <c r="Y40" s="357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77"/>
      <c r="Q41" s="531" t="str">
        <f t="shared" si="11"/>
        <v>单套/主力户型建筑面积</v>
      </c>
      <c r="R41" s="669" t="s">
        <v>18</v>
      </c>
      <c r="S41" s="670">
        <f t="shared" si="12"/>
        <v>100</v>
      </c>
      <c r="T41" s="669" t="s">
        <v>18</v>
      </c>
      <c r="U41" s="670">
        <f t="shared" si="13"/>
        <v>100</v>
      </c>
      <c r="V41" s="669" t="s">
        <v>18</v>
      </c>
      <c r="W41" s="670">
        <f t="shared" si="14"/>
        <v>100</v>
      </c>
      <c r="X41" s="671"/>
      <c r="Y41" s="357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77"/>
      <c r="Q42" s="1263" t="str">
        <f t="shared" si="11"/>
        <v>内部装修</v>
      </c>
      <c r="R42" s="667" t="s">
        <v>18</v>
      </c>
      <c r="S42" s="668">
        <f t="shared" si="12"/>
        <v>100</v>
      </c>
      <c r="T42" s="667" t="s">
        <v>18</v>
      </c>
      <c r="U42" s="668">
        <f t="shared" si="13"/>
        <v>100</v>
      </c>
      <c r="V42" s="667" t="s">
        <v>18</v>
      </c>
      <c r="W42" s="668">
        <f t="shared" si="14"/>
        <v>100</v>
      </c>
      <c r="X42" s="1265"/>
      <c r="Y42" s="357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77"/>
      <c r="Q43" s="1263" t="str">
        <f t="shared" si="11"/>
        <v>内部装修维护情况</v>
      </c>
      <c r="R43" s="667" t="s">
        <v>18</v>
      </c>
      <c r="S43" s="668">
        <f t="shared" si="12"/>
        <v>100</v>
      </c>
      <c r="T43" s="667" t="s">
        <v>18</v>
      </c>
      <c r="U43" s="668">
        <f t="shared" si="13"/>
        <v>100</v>
      </c>
      <c r="V43" s="667" t="s">
        <v>18</v>
      </c>
      <c r="W43" s="668">
        <f t="shared" si="14"/>
        <v>100</v>
      </c>
      <c r="X43" s="1265"/>
      <c r="Y43" s="35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77"/>
      <c r="Q44" s="530">
        <f t="shared" si="11"/>
        <v>111</v>
      </c>
      <c r="R44" s="664" t="s">
        <v>18</v>
      </c>
      <c r="S44" s="665">
        <f t="shared" si="12"/>
        <v>100</v>
      </c>
      <c r="T44" s="664" t="s">
        <v>18</v>
      </c>
      <c r="U44" s="665">
        <f t="shared" si="13"/>
        <v>100</v>
      </c>
      <c r="V44" s="664" t="s">
        <v>18</v>
      </c>
      <c r="W44" s="665">
        <f t="shared" si="14"/>
        <v>100</v>
      </c>
      <c r="X44" s="666"/>
      <c r="Y44" s="35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77"/>
      <c r="Q45" s="1263">
        <f t="shared" si="11"/>
        <v>111</v>
      </c>
      <c r="R45" s="667" t="s">
        <v>18</v>
      </c>
      <c r="S45" s="668">
        <f t="shared" si="12"/>
        <v>100</v>
      </c>
      <c r="T45" s="667" t="s">
        <v>18</v>
      </c>
      <c r="U45" s="668">
        <f t="shared" si="13"/>
        <v>100</v>
      </c>
      <c r="V45" s="667" t="s">
        <v>18</v>
      </c>
      <c r="W45" s="668">
        <f t="shared" si="14"/>
        <v>100</v>
      </c>
      <c r="X45" s="1265"/>
      <c r="Y45" s="357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78"/>
      <c r="Q46" s="1263">
        <f t="shared" si="11"/>
        <v>111</v>
      </c>
      <c r="R46" s="667" t="s">
        <v>17</v>
      </c>
      <c r="S46" s="668">
        <f t="shared" si="12"/>
        <v>100</v>
      </c>
      <c r="T46" s="667" t="s">
        <v>17</v>
      </c>
      <c r="U46" s="668">
        <f t="shared" si="13"/>
        <v>100</v>
      </c>
      <c r="V46" s="667" t="s">
        <v>17</v>
      </c>
      <c r="W46" s="668">
        <f t="shared" si="14"/>
        <v>100</v>
      </c>
      <c r="X46" s="1265"/>
      <c r="Y46" s="358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73" t="str">
        <f>A47</f>
        <v>成交单价（元/平方米）</v>
      </c>
      <c r="Q47" s="3573"/>
      <c r="R47" s="3568">
        <f>E47</f>
        <v>0</v>
      </c>
      <c r="S47" s="3568"/>
      <c r="T47" s="3568">
        <f>G47</f>
        <v>0</v>
      </c>
      <c r="U47" s="3568"/>
      <c r="V47" s="3568">
        <f>I47</f>
        <v>0</v>
      </c>
      <c r="W47" s="356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73" t="str">
        <f>A48</f>
        <v>比较价值（元/平方米）</v>
      </c>
      <c r="Q48" s="3573"/>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70" t="str">
        <f>A49</f>
        <v>估价对象XX用房的比较价值（楼面单价，元/平方米）</v>
      </c>
      <c r="Q49" s="3571"/>
      <c r="R49" s="3572" t="e">
        <f>IF(F1="售价",ROUND(IF(D48="简单平均",AVERAGE(R48:V48),R48*F48+T48*H48+V48*J48),0),ROUND(IF(D48="简单平均",AVERAGE(R48:V48),R48*F48+T48*H48+V48*J48),1))</f>
        <v>#DIV/0!</v>
      </c>
      <c r="S49" s="3572"/>
      <c r="T49" s="3572"/>
      <c r="U49" s="3572"/>
      <c r="V49" s="3572"/>
      <c r="W49" s="357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90"/>
      <c r="B4" s="3591"/>
      <c r="C4" s="3591"/>
      <c r="D4" s="3592"/>
      <c r="E4" s="3592"/>
      <c r="F4" s="3592"/>
      <c r="G4" s="3592"/>
      <c r="H4" s="3592"/>
      <c r="I4" s="3592"/>
      <c r="J4" s="359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87" t="s">
        <v>1960</v>
      </c>
      <c r="X8" s="358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89"/>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8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94" t="s">
        <v>3252</v>
      </c>
      <c r="B20" s="159" t="s">
        <v>1994</v>
      </c>
      <c r="C20" s="3031">
        <f>ROUND(IF(F21="与级别开发程度一致",0,(G21-E21)/C21),0)</f>
        <v>0</v>
      </c>
      <c r="D20" s="3046" t="s">
        <v>1998</v>
      </c>
      <c r="E20" s="3047"/>
      <c r="F20" s="3600" t="s">
        <v>1995</v>
      </c>
      <c r="G20" s="3601"/>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9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45880</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98"/>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99"/>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99"/>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96" t="s">
        <v>3292</v>
      </c>
      <c r="B103" s="3596"/>
      <c r="C103" s="3596"/>
      <c r="D103" s="3596"/>
      <c r="E103" s="3596"/>
      <c r="F103" s="3596"/>
      <c r="G103" s="3596"/>
      <c r="H103" s="3596"/>
      <c r="I103" s="3596"/>
      <c r="J103" s="3596"/>
      <c r="K103" s="1667"/>
      <c r="L103" s="1667"/>
      <c r="M103" s="1667"/>
      <c r="N103" s="1667"/>
    </row>
    <row r="104" spans="1:14">
      <c r="A104" s="3597" t="s">
        <v>3293</v>
      </c>
      <c r="B104" s="3597" t="s">
        <v>3294</v>
      </c>
      <c r="C104" s="3090" t="s">
        <v>3295</v>
      </c>
      <c r="D104" s="3091"/>
      <c r="E104" s="3091"/>
      <c r="F104" s="3091"/>
      <c r="G104" s="3091"/>
      <c r="H104" s="3091"/>
      <c r="I104" s="3091"/>
      <c r="J104" s="3092"/>
      <c r="K104" s="3093"/>
      <c r="L104" s="3093"/>
      <c r="M104" s="3093"/>
      <c r="N104" s="3093"/>
    </row>
    <row r="105" spans="1:14">
      <c r="A105" s="3597"/>
      <c r="B105" s="3597"/>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83"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8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8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8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8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84"/>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8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86" t="s">
        <v>3309</v>
      </c>
      <c r="B113" s="3586"/>
      <c r="C113" s="3586"/>
      <c r="D113" s="3586"/>
      <c r="E113" s="3586"/>
      <c r="F113" s="3586"/>
      <c r="G113" s="3586"/>
      <c r="H113" s="3586"/>
      <c r="I113" s="3586"/>
      <c r="J113" s="358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43" t="s">
        <v>1771</v>
      </c>
      <c r="S4" s="3544"/>
      <c r="T4" s="3543" t="s">
        <v>1772</v>
      </c>
      <c r="U4" s="3544"/>
      <c r="V4" s="3568" t="s">
        <v>1773</v>
      </c>
      <c r="W4" s="3568"/>
      <c r="X4" s="1265"/>
      <c r="Y4" s="3543" t="s">
        <v>1775</v>
      </c>
      <c r="Z4" s="3544"/>
      <c r="AA4" s="3538" t="s">
        <v>1771</v>
      </c>
      <c r="AB4" s="3568" t="s">
        <v>1772</v>
      </c>
      <c r="AC4" s="3538" t="s">
        <v>1773</v>
      </c>
    </row>
    <row r="5" spans="1:29" ht="15">
      <c r="A5" s="348"/>
      <c r="B5" s="349"/>
      <c r="C5" s="3602" t="s">
        <v>3574</v>
      </c>
      <c r="D5" s="3550"/>
      <c r="E5" s="3547" t="str">
        <f>租金案例!C42</f>
        <v>昆泰国际</v>
      </c>
      <c r="F5" s="3548"/>
      <c r="G5" s="3549" t="str">
        <f>租金案例!C43</f>
        <v>圣世一品</v>
      </c>
      <c r="H5" s="3550"/>
      <c r="I5" s="3549" t="str">
        <f>租金案例!C44</f>
        <v>新城国际</v>
      </c>
      <c r="J5" s="3550"/>
      <c r="K5" s="537"/>
      <c r="L5" s="2486"/>
      <c r="M5" s="2487"/>
      <c r="N5" s="2487"/>
      <c r="O5" s="2487"/>
      <c r="P5" s="3562"/>
      <c r="Q5" s="3563"/>
      <c r="R5" s="3545"/>
      <c r="S5" s="3546"/>
      <c r="T5" s="3545"/>
      <c r="U5" s="3546"/>
      <c r="V5" s="3568"/>
      <c r="W5" s="3568"/>
      <c r="X5" s="1265"/>
      <c r="Y5" s="3545"/>
      <c r="Z5" s="3546"/>
      <c r="AA5" s="3539"/>
      <c r="AB5" s="3568"/>
      <c r="AC5" s="3539"/>
    </row>
    <row r="6" spans="1:29" ht="15.75" thickBot="1">
      <c r="A6" s="350"/>
      <c r="B6" s="351"/>
      <c r="C6" s="3551" t="s">
        <v>1677</v>
      </c>
      <c r="D6" s="3552"/>
      <c r="E6" s="3553" t="s">
        <v>1677</v>
      </c>
      <c r="F6" s="3554"/>
      <c r="G6" s="3551" t="s">
        <v>1677</v>
      </c>
      <c r="H6" s="3552"/>
      <c r="I6" s="3551" t="s">
        <v>1677</v>
      </c>
      <c r="J6" s="3552"/>
      <c r="K6" s="537" t="s">
        <v>1678</v>
      </c>
      <c r="L6" s="2486"/>
      <c r="M6" s="2487"/>
      <c r="N6" s="2487"/>
      <c r="O6" s="2487"/>
      <c r="P6" s="3564"/>
      <c r="Q6" s="3565"/>
      <c r="R6" s="3545"/>
      <c r="S6" s="3546"/>
      <c r="T6" s="3566"/>
      <c r="U6" s="3567"/>
      <c r="V6" s="3568"/>
      <c r="W6" s="3568"/>
      <c r="X6" s="1265"/>
      <c r="Y6" s="3566"/>
      <c r="Z6" s="3567"/>
      <c r="AA6" s="3540"/>
      <c r="AB6" s="3568"/>
      <c r="AC6" s="3540"/>
    </row>
    <row r="7" spans="1:29" s="102" customFormat="1" ht="15.75" thickBot="1">
      <c r="A7" s="352" t="s">
        <v>1679</v>
      </c>
      <c r="B7" s="353"/>
      <c r="C7" s="354">
        <f>'数据-取费表'!B2</f>
        <v>45880</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1" t="s">
        <v>1680</v>
      </c>
      <c r="Q7" s="3569"/>
      <c r="R7" s="664" t="s">
        <v>14</v>
      </c>
      <c r="S7" s="665">
        <f t="shared" ref="S7:S15" si="0">F7</f>
        <v>0</v>
      </c>
      <c r="T7" s="664" t="s">
        <v>14</v>
      </c>
      <c r="U7" s="665">
        <f t="shared" ref="U7:U15" si="1">H7</f>
        <v>0</v>
      </c>
      <c r="V7" s="664" t="s">
        <v>14</v>
      </c>
      <c r="W7" s="665">
        <f t="shared" ref="W7:W15" si="2">J7</f>
        <v>0</v>
      </c>
      <c r="X7" s="666"/>
      <c r="Y7" s="3541" t="s">
        <v>1680</v>
      </c>
      <c r="Z7" s="3542"/>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41" t="s">
        <v>1683</v>
      </c>
      <c r="Q8" s="3542"/>
      <c r="R8" s="664" t="s">
        <v>14</v>
      </c>
      <c r="S8" s="665">
        <f t="shared" si="0"/>
        <v>102</v>
      </c>
      <c r="T8" s="664" t="s">
        <v>14</v>
      </c>
      <c r="U8" s="665">
        <f t="shared" si="1"/>
        <v>102</v>
      </c>
      <c r="V8" s="664" t="s">
        <v>14</v>
      </c>
      <c r="W8" s="665">
        <f t="shared" si="2"/>
        <v>102</v>
      </c>
      <c r="X8" s="666"/>
      <c r="Y8" s="3541" t="s">
        <v>1683</v>
      </c>
      <c r="Z8" s="3542"/>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55" t="s">
        <v>1686</v>
      </c>
      <c r="Q9" s="530" t="str">
        <f t="shared" ref="Q9:Q15" si="6">B9</f>
        <v>用途</v>
      </c>
      <c r="R9" s="664" t="s">
        <v>14</v>
      </c>
      <c r="S9" s="665">
        <f t="shared" si="0"/>
        <v>100</v>
      </c>
      <c r="T9" s="664" t="s">
        <v>14</v>
      </c>
      <c r="U9" s="665">
        <f t="shared" si="1"/>
        <v>100</v>
      </c>
      <c r="V9" s="664" t="s">
        <v>14</v>
      </c>
      <c r="W9" s="665">
        <f t="shared" si="2"/>
        <v>100</v>
      </c>
      <c r="X9" s="666"/>
      <c r="Y9" s="34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55"/>
      <c r="Q10" s="530" t="str">
        <f t="shared" si="6"/>
        <v>土地使用年限（年）</v>
      </c>
      <c r="R10" s="664" t="s">
        <v>14</v>
      </c>
      <c r="S10" s="665">
        <f t="shared" si="0"/>
        <v>100</v>
      </c>
      <c r="T10" s="664" t="s">
        <v>14</v>
      </c>
      <c r="U10" s="665">
        <f t="shared" si="1"/>
        <v>100</v>
      </c>
      <c r="V10" s="664" t="s">
        <v>14</v>
      </c>
      <c r="W10" s="665">
        <f t="shared" si="2"/>
        <v>100</v>
      </c>
      <c r="X10" s="666"/>
      <c r="Y10" s="34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55"/>
      <c r="Q11" s="530" t="str">
        <f t="shared" si="6"/>
        <v>容积率</v>
      </c>
      <c r="R11" s="664" t="s">
        <v>14</v>
      </c>
      <c r="S11" s="665">
        <f t="shared" si="0"/>
        <v>100</v>
      </c>
      <c r="T11" s="664" t="s">
        <v>14</v>
      </c>
      <c r="U11" s="665">
        <f t="shared" si="1"/>
        <v>100</v>
      </c>
      <c r="V11" s="664" t="s">
        <v>14</v>
      </c>
      <c r="W11" s="665">
        <f t="shared" si="2"/>
        <v>100</v>
      </c>
      <c r="X11" s="666"/>
      <c r="Y11" s="34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55"/>
      <c r="Q12" s="530">
        <f t="shared" si="6"/>
        <v>111</v>
      </c>
      <c r="R12" s="664" t="s">
        <v>14</v>
      </c>
      <c r="S12" s="665">
        <f t="shared" si="0"/>
        <v>100</v>
      </c>
      <c r="T12" s="664" t="s">
        <v>14</v>
      </c>
      <c r="U12" s="665">
        <f t="shared" si="1"/>
        <v>100</v>
      </c>
      <c r="V12" s="664" t="s">
        <v>14</v>
      </c>
      <c r="W12" s="665">
        <f t="shared" si="2"/>
        <v>100</v>
      </c>
      <c r="X12" s="666"/>
      <c r="Y12" s="34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55"/>
      <c r="Q13" s="530">
        <f t="shared" si="6"/>
        <v>111</v>
      </c>
      <c r="R13" s="664" t="s">
        <v>14</v>
      </c>
      <c r="S13" s="665">
        <f t="shared" si="0"/>
        <v>100</v>
      </c>
      <c r="T13" s="664" t="s">
        <v>14</v>
      </c>
      <c r="U13" s="665">
        <f t="shared" si="1"/>
        <v>100</v>
      </c>
      <c r="V13" s="664" t="s">
        <v>14</v>
      </c>
      <c r="W13" s="665">
        <f t="shared" si="2"/>
        <v>100</v>
      </c>
      <c r="X13" s="666"/>
      <c r="Y13" s="34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55"/>
      <c r="Q14" s="530">
        <f t="shared" si="6"/>
        <v>111</v>
      </c>
      <c r="R14" s="664" t="s">
        <v>14</v>
      </c>
      <c r="S14" s="665">
        <f t="shared" si="0"/>
        <v>100</v>
      </c>
      <c r="T14" s="664" t="s">
        <v>14</v>
      </c>
      <c r="U14" s="665">
        <f t="shared" si="1"/>
        <v>100</v>
      </c>
      <c r="V14" s="664" t="s">
        <v>14</v>
      </c>
      <c r="W14" s="665">
        <f t="shared" si="2"/>
        <v>100</v>
      </c>
      <c r="X14" s="666"/>
      <c r="Y14" s="34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81" t="s">
        <v>1691</v>
      </c>
      <c r="Q15" s="1263" t="str">
        <f t="shared" si="6"/>
        <v>商业繁华度</v>
      </c>
      <c r="R15" s="667" t="s">
        <v>14</v>
      </c>
      <c r="S15" s="668">
        <f t="shared" si="0"/>
        <v>100</v>
      </c>
      <c r="T15" s="667" t="s">
        <v>14</v>
      </c>
      <c r="U15" s="668">
        <f t="shared" si="1"/>
        <v>98</v>
      </c>
      <c r="V15" s="667" t="s">
        <v>14</v>
      </c>
      <c r="W15" s="668">
        <f t="shared" si="2"/>
        <v>98</v>
      </c>
      <c r="X15" s="1265"/>
      <c r="Y15" s="3574"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82"/>
      <c r="Q16" s="1263"/>
      <c r="R16" s="667"/>
      <c r="S16" s="668"/>
      <c r="T16" s="667"/>
      <c r="U16" s="668"/>
      <c r="V16" s="667"/>
      <c r="W16" s="668"/>
      <c r="X16" s="1265"/>
      <c r="Y16" s="3575"/>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82"/>
      <c r="Q17" s="1263" t="str">
        <f>B17</f>
        <v>交通便捷度</v>
      </c>
      <c r="R17" s="667" t="s">
        <v>14</v>
      </c>
      <c r="S17" s="668">
        <f>F17</f>
        <v>100</v>
      </c>
      <c r="T17" s="667" t="s">
        <v>14</v>
      </c>
      <c r="U17" s="668">
        <f>H17</f>
        <v>100</v>
      </c>
      <c r="V17" s="667" t="s">
        <v>14</v>
      </c>
      <c r="W17" s="668">
        <f>J17</f>
        <v>100</v>
      </c>
      <c r="X17" s="1265"/>
      <c r="Y17" s="3575"/>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82"/>
      <c r="Q18" s="1263"/>
      <c r="R18" s="667"/>
      <c r="S18" s="668"/>
      <c r="T18" s="667"/>
      <c r="U18" s="668"/>
      <c r="V18" s="667"/>
      <c r="W18" s="668"/>
      <c r="X18" s="1265"/>
      <c r="Y18" s="3575"/>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82"/>
      <c r="Q19" s="1263" t="str">
        <f>B19</f>
        <v>公共配套设施</v>
      </c>
      <c r="R19" s="667" t="s">
        <v>14</v>
      </c>
      <c r="S19" s="668">
        <f>F19</f>
        <v>100</v>
      </c>
      <c r="T19" s="667" t="s">
        <v>14</v>
      </c>
      <c r="U19" s="668">
        <f>H19</f>
        <v>100</v>
      </c>
      <c r="V19" s="667" t="s">
        <v>14</v>
      </c>
      <c r="W19" s="668">
        <f>J19</f>
        <v>100</v>
      </c>
      <c r="X19" s="1265"/>
      <c r="Y19" s="3575"/>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82"/>
      <c r="Q20" s="1263"/>
      <c r="R20" s="667"/>
      <c r="S20" s="668"/>
      <c r="T20" s="667"/>
      <c r="U20" s="668"/>
      <c r="V20" s="667"/>
      <c r="W20" s="668"/>
      <c r="X20" s="1265"/>
      <c r="Y20" s="357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82"/>
      <c r="Q21" s="1263" t="str">
        <f>B21</f>
        <v>基础设施水平</v>
      </c>
      <c r="R21" s="667" t="s">
        <v>14</v>
      </c>
      <c r="S21" s="668">
        <f>F21</f>
        <v>100</v>
      </c>
      <c r="T21" s="667" t="s">
        <v>14</v>
      </c>
      <c r="U21" s="668">
        <f>H21</f>
        <v>100</v>
      </c>
      <c r="V21" s="667" t="s">
        <v>14</v>
      </c>
      <c r="W21" s="668">
        <f>J21</f>
        <v>100</v>
      </c>
      <c r="X21" s="1265"/>
      <c r="Y21" s="3575"/>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82"/>
      <c r="Q22" s="1263"/>
      <c r="R22" s="667"/>
      <c r="S22" s="668"/>
      <c r="T22" s="667"/>
      <c r="U22" s="668"/>
      <c r="V22" s="667"/>
      <c r="W22" s="668"/>
      <c r="X22" s="1265"/>
      <c r="Y22" s="3575"/>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82"/>
      <c r="Q23" s="1263" t="str">
        <f>B23</f>
        <v>自然及人文环境</v>
      </c>
      <c r="R23" s="667" t="s">
        <v>14</v>
      </c>
      <c r="S23" s="668">
        <f>F23</f>
        <v>100</v>
      </c>
      <c r="T23" s="667" t="s">
        <v>14</v>
      </c>
      <c r="U23" s="668">
        <f>H23</f>
        <v>100</v>
      </c>
      <c r="V23" s="667" t="s">
        <v>14</v>
      </c>
      <c r="W23" s="668">
        <f>J23</f>
        <v>100</v>
      </c>
      <c r="X23" s="1265"/>
      <c r="Y23" s="3575"/>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82"/>
      <c r="Q24" s="1263"/>
      <c r="R24" s="667"/>
      <c r="S24" s="668"/>
      <c r="T24" s="667"/>
      <c r="U24" s="668"/>
      <c r="V24" s="667"/>
      <c r="W24" s="668"/>
      <c r="X24" s="1265"/>
      <c r="Y24" s="3575"/>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82"/>
      <c r="Q25" s="1263" t="str">
        <f t="shared" ref="Q25:Q46" si="11">B25</f>
        <v>临街状况</v>
      </c>
      <c r="R25" s="667" t="s">
        <v>14</v>
      </c>
      <c r="S25" s="668">
        <f>F25</f>
        <v>100</v>
      </c>
      <c r="T25" s="667" t="s">
        <v>14</v>
      </c>
      <c r="U25" s="668">
        <f>H25</f>
        <v>100</v>
      </c>
      <c r="V25" s="667" t="s">
        <v>14</v>
      </c>
      <c r="W25" s="668">
        <f>J25</f>
        <v>100</v>
      </c>
      <c r="X25" s="1265"/>
      <c r="Y25" s="357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82"/>
      <c r="Q26" s="1263" t="str">
        <f t="shared" si="11"/>
        <v>平面位置/可视性</v>
      </c>
      <c r="R26" s="667" t="s">
        <v>14</v>
      </c>
      <c r="S26" s="668">
        <f>F26</f>
        <v>100</v>
      </c>
      <c r="T26" s="667" t="s">
        <v>14</v>
      </c>
      <c r="U26" s="668">
        <f>H26</f>
        <v>100</v>
      </c>
      <c r="V26" s="667" t="s">
        <v>14</v>
      </c>
      <c r="W26" s="668">
        <f>J26</f>
        <v>100</v>
      </c>
      <c r="X26" s="1265"/>
      <c r="Y26" s="3575"/>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82"/>
      <c r="Q27" s="530" t="str">
        <f t="shared" si="11"/>
        <v>人流量</v>
      </c>
      <c r="R27" s="664" t="s">
        <v>14</v>
      </c>
      <c r="S27" s="665">
        <f>F27</f>
        <v>100</v>
      </c>
      <c r="T27" s="664" t="s">
        <v>14</v>
      </c>
      <c r="U27" s="665">
        <f>H27</f>
        <v>100</v>
      </c>
      <c r="V27" s="664" t="s">
        <v>14</v>
      </c>
      <c r="W27" s="665">
        <f>J27</f>
        <v>100</v>
      </c>
      <c r="X27" s="666"/>
      <c r="Y27" s="3575"/>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82"/>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75"/>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82"/>
      <c r="Q29" s="1263" t="str">
        <f t="shared" si="11"/>
        <v>道路级别</v>
      </c>
      <c r="R29" s="667" t="s">
        <v>14</v>
      </c>
      <c r="S29" s="668">
        <f t="shared" si="12"/>
        <v>100</v>
      </c>
      <c r="T29" s="667" t="s">
        <v>14</v>
      </c>
      <c r="U29" s="668">
        <f t="shared" si="13"/>
        <v>98</v>
      </c>
      <c r="V29" s="667" t="s">
        <v>14</v>
      </c>
      <c r="W29" s="668">
        <f t="shared" si="14"/>
        <v>98</v>
      </c>
      <c r="X29" s="1265"/>
      <c r="Y29" s="3575"/>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82"/>
      <c r="Q30" s="1263">
        <f t="shared" si="11"/>
        <v>111</v>
      </c>
      <c r="R30" s="667" t="s">
        <v>14</v>
      </c>
      <c r="S30" s="668">
        <f t="shared" si="12"/>
        <v>100</v>
      </c>
      <c r="T30" s="667" t="s">
        <v>14</v>
      </c>
      <c r="U30" s="668">
        <f t="shared" si="13"/>
        <v>100</v>
      </c>
      <c r="V30" s="667" t="s">
        <v>14</v>
      </c>
      <c r="W30" s="668">
        <f t="shared" si="14"/>
        <v>100</v>
      </c>
      <c r="X30" s="1265"/>
      <c r="Y30" s="357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82"/>
      <c r="Q31" s="1263">
        <f t="shared" si="11"/>
        <v>111</v>
      </c>
      <c r="R31" s="667" t="s">
        <v>14</v>
      </c>
      <c r="S31" s="668">
        <f t="shared" si="12"/>
        <v>100</v>
      </c>
      <c r="T31" s="667" t="s">
        <v>14</v>
      </c>
      <c r="U31" s="668">
        <f t="shared" si="13"/>
        <v>100</v>
      </c>
      <c r="V31" s="667" t="s">
        <v>14</v>
      </c>
      <c r="W31" s="668">
        <f t="shared" si="14"/>
        <v>100</v>
      </c>
      <c r="X31" s="1265"/>
      <c r="Y31" s="3575"/>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76" t="s">
        <v>1696</v>
      </c>
      <c r="Q32" s="1263" t="str">
        <f t="shared" si="11"/>
        <v>商业类型</v>
      </c>
      <c r="R32" s="667" t="s">
        <v>14</v>
      </c>
      <c r="S32" s="668">
        <f t="shared" si="12"/>
        <v>102</v>
      </c>
      <c r="T32" s="667" t="s">
        <v>14</v>
      </c>
      <c r="U32" s="668">
        <f t="shared" si="13"/>
        <v>98</v>
      </c>
      <c r="V32" s="667" t="s">
        <v>14</v>
      </c>
      <c r="W32" s="668">
        <f t="shared" si="14"/>
        <v>98</v>
      </c>
      <c r="X32" s="1265"/>
      <c r="Y32" s="3579"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77"/>
      <c r="Q33" s="531" t="str">
        <f t="shared" si="11"/>
        <v>项目建筑规模</v>
      </c>
      <c r="R33" s="669" t="s">
        <v>14</v>
      </c>
      <c r="S33" s="670">
        <f t="shared" si="12"/>
        <v>96</v>
      </c>
      <c r="T33" s="669" t="s">
        <v>14</v>
      </c>
      <c r="U33" s="670">
        <f t="shared" si="13"/>
        <v>98</v>
      </c>
      <c r="V33" s="669" t="s">
        <v>14</v>
      </c>
      <c r="W33" s="670">
        <f t="shared" si="14"/>
        <v>98</v>
      </c>
      <c r="X33" s="671"/>
      <c r="Y33" s="3579"/>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77"/>
      <c r="Q34" s="1263" t="str">
        <f t="shared" si="11"/>
        <v>建筑结构</v>
      </c>
      <c r="R34" s="667" t="s">
        <v>14</v>
      </c>
      <c r="S34" s="668">
        <f t="shared" si="12"/>
        <v>100</v>
      </c>
      <c r="T34" s="667" t="s">
        <v>14</v>
      </c>
      <c r="U34" s="668">
        <f t="shared" si="13"/>
        <v>100</v>
      </c>
      <c r="V34" s="667" t="s">
        <v>14</v>
      </c>
      <c r="W34" s="668">
        <f t="shared" si="14"/>
        <v>100</v>
      </c>
      <c r="X34" s="1265"/>
      <c r="Y34" s="3579"/>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77"/>
      <c r="Q35" s="1263" t="str">
        <f t="shared" si="11"/>
        <v>公共部分装修</v>
      </c>
      <c r="R35" s="667" t="s">
        <v>14</v>
      </c>
      <c r="S35" s="668">
        <f t="shared" si="12"/>
        <v>100</v>
      </c>
      <c r="T35" s="667" t="s">
        <v>14</v>
      </c>
      <c r="U35" s="668">
        <f t="shared" si="13"/>
        <v>100</v>
      </c>
      <c r="V35" s="667" t="s">
        <v>14</v>
      </c>
      <c r="W35" s="668">
        <f t="shared" si="14"/>
        <v>100</v>
      </c>
      <c r="X35" s="1265"/>
      <c r="Y35" s="3579"/>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77"/>
      <c r="Q36" s="1263" t="str">
        <f t="shared" si="11"/>
        <v>成新度</v>
      </c>
      <c r="R36" s="667" t="s">
        <v>14</v>
      </c>
      <c r="S36" s="668">
        <f t="shared" si="12"/>
        <v>100</v>
      </c>
      <c r="T36" s="667" t="s">
        <v>14</v>
      </c>
      <c r="U36" s="668">
        <f t="shared" si="13"/>
        <v>100</v>
      </c>
      <c r="V36" s="667" t="s">
        <v>14</v>
      </c>
      <c r="W36" s="668">
        <f t="shared" si="14"/>
        <v>100</v>
      </c>
      <c r="X36" s="1265"/>
      <c r="Y36" s="3579"/>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77"/>
      <c r="Q37" s="530" t="str">
        <f t="shared" si="11"/>
        <v>市政基础设施</v>
      </c>
      <c r="R37" s="664" t="s">
        <v>14</v>
      </c>
      <c r="S37" s="665">
        <f t="shared" si="12"/>
        <v>100</v>
      </c>
      <c r="T37" s="664" t="s">
        <v>14</v>
      </c>
      <c r="U37" s="665">
        <f t="shared" si="13"/>
        <v>100</v>
      </c>
      <c r="V37" s="664" t="s">
        <v>14</v>
      </c>
      <c r="W37" s="665">
        <f t="shared" si="14"/>
        <v>100</v>
      </c>
      <c r="X37" s="666"/>
      <c r="Y37" s="357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77" t="s">
        <v>1696</v>
      </c>
      <c r="Q38" s="1263" t="str">
        <f t="shared" si="11"/>
        <v>业态</v>
      </c>
      <c r="R38" s="667" t="s">
        <v>14</v>
      </c>
      <c r="S38" s="668">
        <f t="shared" si="12"/>
        <v>100</v>
      </c>
      <c r="T38" s="667" t="s">
        <v>14</v>
      </c>
      <c r="U38" s="668">
        <f t="shared" si="13"/>
        <v>100</v>
      </c>
      <c r="V38" s="667" t="s">
        <v>14</v>
      </c>
      <c r="W38" s="668">
        <f t="shared" si="14"/>
        <v>100</v>
      </c>
      <c r="X38" s="1265"/>
      <c r="Y38" s="3579"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77"/>
      <c r="Q39" s="1263" t="str">
        <f t="shared" si="11"/>
        <v>层高</v>
      </c>
      <c r="R39" s="667" t="s">
        <v>14</v>
      </c>
      <c r="S39" s="668">
        <f t="shared" si="12"/>
        <v>100</v>
      </c>
      <c r="T39" s="667" t="s">
        <v>14</v>
      </c>
      <c r="U39" s="668">
        <f t="shared" si="13"/>
        <v>100</v>
      </c>
      <c r="V39" s="667" t="s">
        <v>14</v>
      </c>
      <c r="W39" s="668">
        <f t="shared" si="14"/>
        <v>100</v>
      </c>
      <c r="X39" s="1265"/>
      <c r="Y39" s="357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77"/>
      <c r="Q40" s="1263" t="str">
        <f t="shared" si="11"/>
        <v>单套建筑面积</v>
      </c>
      <c r="R40" s="667" t="s">
        <v>14</v>
      </c>
      <c r="S40" s="668">
        <f t="shared" si="12"/>
        <v>100</v>
      </c>
      <c r="T40" s="667" t="s">
        <v>14</v>
      </c>
      <c r="U40" s="668">
        <f t="shared" si="13"/>
        <v>100</v>
      </c>
      <c r="V40" s="667" t="s">
        <v>14</v>
      </c>
      <c r="W40" s="668">
        <f t="shared" si="14"/>
        <v>100</v>
      </c>
      <c r="X40" s="1265"/>
      <c r="Y40" s="35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77"/>
      <c r="Q41" s="531" t="str">
        <f t="shared" si="11"/>
        <v>进深比</v>
      </c>
      <c r="R41" s="669" t="s">
        <v>14</v>
      </c>
      <c r="S41" s="670">
        <f t="shared" si="12"/>
        <v>100</v>
      </c>
      <c r="T41" s="669" t="s">
        <v>14</v>
      </c>
      <c r="U41" s="670">
        <f t="shared" si="13"/>
        <v>100</v>
      </c>
      <c r="V41" s="669" t="s">
        <v>14</v>
      </c>
      <c r="W41" s="670">
        <f t="shared" si="14"/>
        <v>100</v>
      </c>
      <c r="X41" s="671"/>
      <c r="Y41" s="3579"/>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77"/>
      <c r="Q42" s="1263" t="str">
        <f t="shared" si="11"/>
        <v>内部装修</v>
      </c>
      <c r="R42" s="667" t="s">
        <v>14</v>
      </c>
      <c r="S42" s="668">
        <f t="shared" si="12"/>
        <v>100</v>
      </c>
      <c r="T42" s="667" t="s">
        <v>14</v>
      </c>
      <c r="U42" s="668">
        <f t="shared" si="13"/>
        <v>100</v>
      </c>
      <c r="V42" s="667" t="s">
        <v>14</v>
      </c>
      <c r="W42" s="668">
        <f t="shared" si="14"/>
        <v>100</v>
      </c>
      <c r="X42" s="1265"/>
      <c r="Y42" s="3579"/>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77"/>
      <c r="Q43" s="1263" t="str">
        <f t="shared" si="11"/>
        <v>内部装修维护情况</v>
      </c>
      <c r="R43" s="667" t="s">
        <v>14</v>
      </c>
      <c r="S43" s="668">
        <f t="shared" si="12"/>
        <v>100</v>
      </c>
      <c r="T43" s="667" t="s">
        <v>14</v>
      </c>
      <c r="U43" s="668">
        <f t="shared" si="13"/>
        <v>100</v>
      </c>
      <c r="V43" s="667" t="s">
        <v>14</v>
      </c>
      <c r="W43" s="668">
        <f t="shared" si="14"/>
        <v>100</v>
      </c>
      <c r="X43" s="1265"/>
      <c r="Y43" s="3579"/>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77"/>
      <c r="Q44" s="530">
        <f t="shared" si="11"/>
        <v>0</v>
      </c>
      <c r="R44" s="664" t="s">
        <v>14</v>
      </c>
      <c r="S44" s="665">
        <f t="shared" si="12"/>
        <v>100</v>
      </c>
      <c r="T44" s="664" t="s">
        <v>14</v>
      </c>
      <c r="U44" s="665">
        <f t="shared" si="13"/>
        <v>100</v>
      </c>
      <c r="V44" s="664" t="s">
        <v>14</v>
      </c>
      <c r="W44" s="665">
        <f t="shared" si="14"/>
        <v>100</v>
      </c>
      <c r="X44" s="666"/>
      <c r="Y44" s="3579"/>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77"/>
      <c r="Q45" s="1263">
        <f t="shared" si="11"/>
        <v>111</v>
      </c>
      <c r="R45" s="667" t="s">
        <v>14</v>
      </c>
      <c r="S45" s="668">
        <f t="shared" si="12"/>
        <v>100</v>
      </c>
      <c r="T45" s="667" t="s">
        <v>14</v>
      </c>
      <c r="U45" s="668">
        <f t="shared" si="13"/>
        <v>100</v>
      </c>
      <c r="V45" s="667" t="s">
        <v>14</v>
      </c>
      <c r="W45" s="668">
        <f t="shared" si="14"/>
        <v>100</v>
      </c>
      <c r="X45" s="1265"/>
      <c r="Y45" s="357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78"/>
      <c r="Q46" s="1263">
        <f t="shared" si="11"/>
        <v>111</v>
      </c>
      <c r="R46" s="667" t="s">
        <v>14</v>
      </c>
      <c r="S46" s="668">
        <f t="shared" si="12"/>
        <v>100</v>
      </c>
      <c r="T46" s="667" t="s">
        <v>14</v>
      </c>
      <c r="U46" s="668">
        <f t="shared" si="13"/>
        <v>100</v>
      </c>
      <c r="V46" s="667" t="s">
        <v>14</v>
      </c>
      <c r="W46" s="668">
        <f t="shared" si="14"/>
        <v>100</v>
      </c>
      <c r="X46" s="1265"/>
      <c r="Y46" s="3580"/>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73" t="str">
        <f>A47</f>
        <v>成交单价（元/平方米）</v>
      </c>
      <c r="Q47" s="3573"/>
      <c r="R47" s="3568">
        <f>E47</f>
        <v>11.63</v>
      </c>
      <c r="S47" s="3568"/>
      <c r="T47" s="3568">
        <f>G47</f>
        <v>11.5</v>
      </c>
      <c r="U47" s="3568"/>
      <c r="V47" s="3568">
        <f>I47</f>
        <v>11.28</v>
      </c>
      <c r="W47" s="356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73" t="str">
        <f>A48</f>
        <v>比较价值（元/平方米）</v>
      </c>
      <c r="Q48" s="3573"/>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70" t="str">
        <f>A49</f>
        <v>估价对象XX用房的比较价值（楼面单价，元/平方米）</v>
      </c>
      <c r="Q49" s="3571"/>
      <c r="R49" s="3572" t="e">
        <f>IF(F1="售价",ROUND(IF(D48="简单平均",AVERAGE(R48:V48),R48*F48+T48*H48+V48*J48),0),ROUND(IF(D48="简单平均",AVERAGE(R48:V48),R48*F48+T48*H48+V48*J48),1))</f>
        <v>#DIV/0!</v>
      </c>
      <c r="S49" s="3572"/>
      <c r="T49" s="3572"/>
      <c r="U49" s="3572"/>
      <c r="V49" s="3572"/>
      <c r="W49" s="357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2025年8月11日（评估专业人员实地查勘之日）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本次估价的“房地产价值”是指在正常市场情况下，在价值时点2025年8月11日，估价对象规划用途为，土地取得方式为划拨，假定未设立法定优先受偿款下的房地产市场价值。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609" t="s">
        <v>1775</v>
      </c>
      <c r="Q4" s="3610"/>
      <c r="R4" s="3604" t="s">
        <v>1771</v>
      </c>
      <c r="S4" s="3605"/>
      <c r="T4" s="3604" t="s">
        <v>1772</v>
      </c>
      <c r="U4" s="3605"/>
      <c r="V4" s="3613" t="s">
        <v>1773</v>
      </c>
      <c r="W4" s="3613"/>
      <c r="X4" s="1809"/>
      <c r="Y4" s="3604" t="s">
        <v>1775</v>
      </c>
      <c r="Z4" s="3605"/>
      <c r="AA4" s="3603" t="s">
        <v>1771</v>
      </c>
      <c r="AB4" s="3603" t="s">
        <v>1772</v>
      </c>
      <c r="AC4" s="3606" t="s">
        <v>1773</v>
      </c>
    </row>
    <row r="5" spans="1:29" ht="15">
      <c r="A5" s="348"/>
      <c r="B5" s="349"/>
      <c r="C5" s="3549" t="s">
        <v>1673</v>
      </c>
      <c r="D5" s="3550"/>
      <c r="E5" s="3547" t="s">
        <v>1674</v>
      </c>
      <c r="F5" s="3548"/>
      <c r="G5" s="3549" t="s">
        <v>1675</v>
      </c>
      <c r="H5" s="3550"/>
      <c r="I5" s="3549" t="s">
        <v>1676</v>
      </c>
      <c r="J5" s="3550"/>
      <c r="K5" s="537"/>
      <c r="L5" s="2486"/>
      <c r="M5" s="2487"/>
      <c r="N5" s="2487"/>
      <c r="O5" s="2487"/>
      <c r="P5" s="3611"/>
      <c r="Q5" s="3563"/>
      <c r="R5" s="3545"/>
      <c r="S5" s="3546"/>
      <c r="T5" s="3545"/>
      <c r="U5" s="3546"/>
      <c r="V5" s="3568"/>
      <c r="W5" s="3568"/>
      <c r="X5" s="1265"/>
      <c r="Y5" s="3545"/>
      <c r="Z5" s="3546"/>
      <c r="AA5" s="3539"/>
      <c r="AB5" s="3539"/>
      <c r="AC5" s="3607"/>
    </row>
    <row r="6" spans="1:29" ht="15.75" thickBot="1">
      <c r="A6" s="350"/>
      <c r="B6" s="351"/>
      <c r="C6" s="3551" t="s">
        <v>1677</v>
      </c>
      <c r="D6" s="3552"/>
      <c r="E6" s="3553" t="s">
        <v>1677</v>
      </c>
      <c r="F6" s="3554"/>
      <c r="G6" s="3551" t="s">
        <v>1677</v>
      </c>
      <c r="H6" s="3552"/>
      <c r="I6" s="3551" t="s">
        <v>1677</v>
      </c>
      <c r="J6" s="3552"/>
      <c r="K6" s="537" t="s">
        <v>1678</v>
      </c>
      <c r="L6" s="2486"/>
      <c r="M6" s="2487"/>
      <c r="N6" s="2487"/>
      <c r="O6" s="2487"/>
      <c r="P6" s="3612"/>
      <c r="Q6" s="3565"/>
      <c r="R6" s="3545"/>
      <c r="S6" s="3546"/>
      <c r="T6" s="3566"/>
      <c r="U6" s="3567"/>
      <c r="V6" s="3568"/>
      <c r="W6" s="3568"/>
      <c r="X6" s="1265"/>
      <c r="Y6" s="3566"/>
      <c r="Z6" s="3567"/>
      <c r="AA6" s="3540"/>
      <c r="AB6" s="3540"/>
      <c r="AC6" s="3608"/>
    </row>
    <row r="7" spans="1:29" s="102" customFormat="1" ht="15.75" thickBot="1">
      <c r="A7" s="352" t="s">
        <v>1679</v>
      </c>
      <c r="B7" s="353"/>
      <c r="C7" s="354">
        <f>'数据-取费表'!B2</f>
        <v>45880</v>
      </c>
      <c r="D7" s="355">
        <v>100</v>
      </c>
      <c r="E7" s="356"/>
      <c r="F7" s="357">
        <f>SUMIF(59:59,YEAR(E7)&amp;"-"&amp;MONTH(E7),60:60)</f>
        <v>0</v>
      </c>
      <c r="G7" s="356"/>
      <c r="H7" s="355">
        <f>SUMIF(59:59,YEAR(G7)&amp;"-"&amp;MONTH(G7),60:60)</f>
        <v>0</v>
      </c>
      <c r="I7" s="356"/>
      <c r="J7" s="355">
        <f>SUMIF(59:59,YEAR(I7)&amp;"-"&amp;MONTH(I7),60:60)</f>
        <v>0</v>
      </c>
      <c r="K7" s="38"/>
      <c r="L7" s="2488"/>
      <c r="M7" s="2439"/>
      <c r="N7" s="2439"/>
      <c r="O7" s="2439"/>
      <c r="P7" s="3614" t="s">
        <v>1680</v>
      </c>
      <c r="Q7" s="3569"/>
      <c r="R7" s="664" t="s">
        <v>14</v>
      </c>
      <c r="S7" s="665">
        <f t="shared" ref="S7:S15" si="0">F7</f>
        <v>0</v>
      </c>
      <c r="T7" s="664" t="s">
        <v>14</v>
      </c>
      <c r="U7" s="665">
        <f t="shared" ref="U7:U15" si="1">H7</f>
        <v>0</v>
      </c>
      <c r="V7" s="664" t="s">
        <v>14</v>
      </c>
      <c r="W7" s="665">
        <f t="shared" ref="W7:W15" si="2">J7</f>
        <v>0</v>
      </c>
      <c r="X7" s="666"/>
      <c r="Y7" s="3541" t="s">
        <v>1680</v>
      </c>
      <c r="Z7" s="354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14" t="s">
        <v>1683</v>
      </c>
      <c r="Q8" s="3542"/>
      <c r="R8" s="664" t="s">
        <v>14</v>
      </c>
      <c r="S8" s="665">
        <f t="shared" si="0"/>
        <v>100</v>
      </c>
      <c r="T8" s="664" t="s">
        <v>14</v>
      </c>
      <c r="U8" s="665">
        <f t="shared" si="1"/>
        <v>100</v>
      </c>
      <c r="V8" s="664" t="s">
        <v>14</v>
      </c>
      <c r="W8" s="665">
        <f t="shared" si="2"/>
        <v>100</v>
      </c>
      <c r="X8" s="666"/>
      <c r="Y8" s="3541" t="s">
        <v>1683</v>
      </c>
      <c r="Z8" s="354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55" t="s">
        <v>1686</v>
      </c>
      <c r="Q9" s="530" t="str">
        <f t="shared" ref="Q9:Q15" si="6">B9</f>
        <v>用途</v>
      </c>
      <c r="R9" s="664" t="s">
        <v>14</v>
      </c>
      <c r="S9" s="665">
        <f t="shared" si="0"/>
        <v>100</v>
      </c>
      <c r="T9" s="664" t="s">
        <v>14</v>
      </c>
      <c r="U9" s="665">
        <f t="shared" si="1"/>
        <v>100</v>
      </c>
      <c r="V9" s="664" t="s">
        <v>14</v>
      </c>
      <c r="W9" s="665">
        <f t="shared" si="2"/>
        <v>100</v>
      </c>
      <c r="X9" s="666"/>
      <c r="Y9" s="344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55"/>
      <c r="Q10" s="530" t="str">
        <f t="shared" si="6"/>
        <v>土地使用年限（年）</v>
      </c>
      <c r="R10" s="664" t="s">
        <v>14</v>
      </c>
      <c r="S10" s="665">
        <f t="shared" si="0"/>
        <v>100</v>
      </c>
      <c r="T10" s="664" t="s">
        <v>14</v>
      </c>
      <c r="U10" s="665">
        <f t="shared" si="1"/>
        <v>100</v>
      </c>
      <c r="V10" s="664" t="s">
        <v>14</v>
      </c>
      <c r="W10" s="665">
        <f t="shared" si="2"/>
        <v>100</v>
      </c>
      <c r="X10" s="666"/>
      <c r="Y10" s="34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55"/>
      <c r="Q11" s="530" t="str">
        <f t="shared" si="6"/>
        <v>容积率</v>
      </c>
      <c r="R11" s="664" t="s">
        <v>14</v>
      </c>
      <c r="S11" s="665">
        <f t="shared" si="0"/>
        <v>100</v>
      </c>
      <c r="T11" s="664" t="s">
        <v>14</v>
      </c>
      <c r="U11" s="665">
        <f t="shared" si="1"/>
        <v>100</v>
      </c>
      <c r="V11" s="664" t="s">
        <v>14</v>
      </c>
      <c r="W11" s="665">
        <f t="shared" si="2"/>
        <v>100</v>
      </c>
      <c r="X11" s="666"/>
      <c r="Y11" s="34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55"/>
      <c r="Q12" s="530">
        <f t="shared" si="6"/>
        <v>111</v>
      </c>
      <c r="R12" s="664" t="s">
        <v>14</v>
      </c>
      <c r="S12" s="665">
        <f t="shared" si="0"/>
        <v>100</v>
      </c>
      <c r="T12" s="664" t="s">
        <v>14</v>
      </c>
      <c r="U12" s="665">
        <f t="shared" si="1"/>
        <v>100</v>
      </c>
      <c r="V12" s="664" t="s">
        <v>14</v>
      </c>
      <c r="W12" s="665">
        <f t="shared" si="2"/>
        <v>100</v>
      </c>
      <c r="X12" s="666"/>
      <c r="Y12" s="34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55"/>
      <c r="Q13" s="530">
        <f t="shared" si="6"/>
        <v>111</v>
      </c>
      <c r="R13" s="664" t="s">
        <v>14</v>
      </c>
      <c r="S13" s="665">
        <f t="shared" si="0"/>
        <v>100</v>
      </c>
      <c r="T13" s="664" t="s">
        <v>14</v>
      </c>
      <c r="U13" s="665">
        <f t="shared" si="1"/>
        <v>100</v>
      </c>
      <c r="V13" s="664" t="s">
        <v>14</v>
      </c>
      <c r="W13" s="665">
        <f t="shared" si="2"/>
        <v>100</v>
      </c>
      <c r="X13" s="666"/>
      <c r="Y13" s="344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55"/>
      <c r="Q14" s="530">
        <f t="shared" si="6"/>
        <v>111</v>
      </c>
      <c r="R14" s="664" t="s">
        <v>14</v>
      </c>
      <c r="S14" s="665">
        <f t="shared" si="0"/>
        <v>100</v>
      </c>
      <c r="T14" s="664" t="s">
        <v>14</v>
      </c>
      <c r="U14" s="665">
        <f t="shared" si="1"/>
        <v>100</v>
      </c>
      <c r="V14" s="664" t="s">
        <v>14</v>
      </c>
      <c r="W14" s="665">
        <f t="shared" si="2"/>
        <v>100</v>
      </c>
      <c r="X14" s="666"/>
      <c r="Y14" s="344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81" t="s">
        <v>1691</v>
      </c>
      <c r="Q15" s="1263" t="str">
        <f t="shared" si="6"/>
        <v>办公集聚程度</v>
      </c>
      <c r="R15" s="667" t="s">
        <v>14</v>
      </c>
      <c r="S15" s="668">
        <f t="shared" si="0"/>
        <v>100</v>
      </c>
      <c r="T15" s="667" t="s">
        <v>14</v>
      </c>
      <c r="U15" s="668">
        <f t="shared" si="1"/>
        <v>100</v>
      </c>
      <c r="V15" s="667" t="s">
        <v>14</v>
      </c>
      <c r="W15" s="668">
        <f t="shared" si="2"/>
        <v>100</v>
      </c>
      <c r="X15" s="1265"/>
      <c r="Y15" s="357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82"/>
      <c r="Q16" s="1263"/>
      <c r="R16" s="667"/>
      <c r="S16" s="668"/>
      <c r="T16" s="667"/>
      <c r="U16" s="668"/>
      <c r="V16" s="667"/>
      <c r="W16" s="668"/>
      <c r="X16" s="1265"/>
      <c r="Y16" s="3575"/>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82"/>
      <c r="Q17" s="1263" t="str">
        <f>B17</f>
        <v>交通便捷度</v>
      </c>
      <c r="R17" s="667" t="s">
        <v>14</v>
      </c>
      <c r="S17" s="668">
        <f>F17</f>
        <v>100</v>
      </c>
      <c r="T17" s="667" t="s">
        <v>14</v>
      </c>
      <c r="U17" s="668">
        <f>H17</f>
        <v>100</v>
      </c>
      <c r="V17" s="667" t="s">
        <v>14</v>
      </c>
      <c r="W17" s="668">
        <f>J17</f>
        <v>100</v>
      </c>
      <c r="X17" s="1265"/>
      <c r="Y17" s="357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82"/>
      <c r="Q18" s="1263"/>
      <c r="R18" s="667"/>
      <c r="S18" s="668"/>
      <c r="T18" s="667"/>
      <c r="U18" s="668"/>
      <c r="V18" s="667"/>
      <c r="W18" s="668"/>
      <c r="X18" s="1265"/>
      <c r="Y18" s="3575"/>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82"/>
      <c r="Q19" s="1263" t="str">
        <f>B19</f>
        <v>公共配套设施</v>
      </c>
      <c r="R19" s="667" t="s">
        <v>14</v>
      </c>
      <c r="S19" s="668">
        <f>F19</f>
        <v>100</v>
      </c>
      <c r="T19" s="667" t="s">
        <v>14</v>
      </c>
      <c r="U19" s="668">
        <f>H19</f>
        <v>100</v>
      </c>
      <c r="V19" s="667" t="s">
        <v>14</v>
      </c>
      <c r="W19" s="668">
        <f>J19</f>
        <v>100</v>
      </c>
      <c r="X19" s="1265"/>
      <c r="Y19" s="357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82"/>
      <c r="Q20" s="1263"/>
      <c r="R20" s="667"/>
      <c r="S20" s="668"/>
      <c r="T20" s="667"/>
      <c r="U20" s="668"/>
      <c r="V20" s="667"/>
      <c r="W20" s="668"/>
      <c r="X20" s="1265"/>
      <c r="Y20" s="357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82"/>
      <c r="Q21" s="1263" t="str">
        <f>B21</f>
        <v>基础设施水平</v>
      </c>
      <c r="R21" s="667" t="s">
        <v>14</v>
      </c>
      <c r="S21" s="668">
        <f>F21</f>
        <v>100</v>
      </c>
      <c r="T21" s="667" t="s">
        <v>14</v>
      </c>
      <c r="U21" s="668">
        <f>H21</f>
        <v>100</v>
      </c>
      <c r="V21" s="667" t="s">
        <v>14</v>
      </c>
      <c r="W21" s="668">
        <f>J21</f>
        <v>100</v>
      </c>
      <c r="X21" s="1265"/>
      <c r="Y21" s="357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82"/>
      <c r="Q22" s="1263"/>
      <c r="R22" s="667"/>
      <c r="S22" s="668"/>
      <c r="T22" s="667"/>
      <c r="U22" s="668"/>
      <c r="V22" s="667"/>
      <c r="W22" s="668"/>
      <c r="X22" s="1265"/>
      <c r="Y22" s="3575"/>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82"/>
      <c r="Q23" s="1263" t="str">
        <f>B23</f>
        <v>环境质量</v>
      </c>
      <c r="R23" s="667" t="s">
        <v>14</v>
      </c>
      <c r="S23" s="668">
        <f>F23</f>
        <v>100</v>
      </c>
      <c r="T23" s="667" t="s">
        <v>14</v>
      </c>
      <c r="U23" s="668">
        <f>H23</f>
        <v>100</v>
      </c>
      <c r="V23" s="667" t="s">
        <v>14</v>
      </c>
      <c r="W23" s="668">
        <f>J23</f>
        <v>100</v>
      </c>
      <c r="X23" s="1265"/>
      <c r="Y23" s="357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82"/>
      <c r="Q24" s="1263"/>
      <c r="R24" s="667"/>
      <c r="S24" s="668"/>
      <c r="T24" s="667"/>
      <c r="U24" s="668"/>
      <c r="V24" s="667"/>
      <c r="W24" s="668"/>
      <c r="X24" s="1265"/>
      <c r="Y24" s="357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82"/>
      <c r="Q25" s="1263" t="str">
        <f>B25</f>
        <v>毗邻道路的类型与等级</v>
      </c>
      <c r="R25" s="667" t="s">
        <v>14</v>
      </c>
      <c r="S25" s="668">
        <f>F25</f>
        <v>100</v>
      </c>
      <c r="T25" s="667" t="s">
        <v>14</v>
      </c>
      <c r="U25" s="668">
        <f>H25</f>
        <v>100</v>
      </c>
      <c r="V25" s="667" t="s">
        <v>14</v>
      </c>
      <c r="W25" s="668">
        <f>J25</f>
        <v>100</v>
      </c>
      <c r="X25" s="1265"/>
      <c r="Y25" s="357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82"/>
      <c r="Q26" s="1263"/>
      <c r="R26" s="667"/>
      <c r="S26" s="668"/>
      <c r="T26" s="667"/>
      <c r="U26" s="668"/>
      <c r="V26" s="667"/>
      <c r="W26" s="668"/>
      <c r="X26" s="1265"/>
      <c r="Y26" s="357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82"/>
      <c r="Q27" s="1263" t="str">
        <f t="shared" ref="Q27:Q47" si="11">B27</f>
        <v>楼层</v>
      </c>
      <c r="R27" s="667" t="s">
        <v>14</v>
      </c>
      <c r="S27" s="668">
        <f>F27</f>
        <v>100</v>
      </c>
      <c r="T27" s="667" t="s">
        <v>14</v>
      </c>
      <c r="U27" s="668">
        <f>H27</f>
        <v>100</v>
      </c>
      <c r="V27" s="667" t="s">
        <v>14</v>
      </c>
      <c r="W27" s="668">
        <f>J27</f>
        <v>100</v>
      </c>
      <c r="X27" s="1265"/>
      <c r="Y27" s="357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82"/>
      <c r="Q28" s="530" t="str">
        <f t="shared" si="11"/>
        <v>朝向</v>
      </c>
      <c r="R28" s="664" t="s">
        <v>14</v>
      </c>
      <c r="S28" s="665">
        <f>F28</f>
        <v>100</v>
      </c>
      <c r="T28" s="664" t="s">
        <v>14</v>
      </c>
      <c r="U28" s="665">
        <f>H28</f>
        <v>100</v>
      </c>
      <c r="V28" s="664" t="s">
        <v>14</v>
      </c>
      <c r="W28" s="665">
        <f>J28</f>
        <v>100</v>
      </c>
      <c r="X28" s="666"/>
      <c r="Y28" s="357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82"/>
      <c r="Q29" s="1263">
        <f t="shared" si="11"/>
        <v>111</v>
      </c>
      <c r="R29" s="667" t="s">
        <v>14</v>
      </c>
      <c r="S29" s="668">
        <f t="shared" ref="S29:S47" si="12">F29</f>
        <v>100</v>
      </c>
      <c r="T29" s="667" t="s">
        <v>14</v>
      </c>
      <c r="U29" s="668">
        <f t="shared" ref="U29:U47" si="13">H29</f>
        <v>100</v>
      </c>
      <c r="V29" s="667" t="s">
        <v>14</v>
      </c>
      <c r="W29" s="668">
        <f t="shared" ref="W29:W47" si="14">J29</f>
        <v>100</v>
      </c>
      <c r="X29" s="1265"/>
      <c r="Y29" s="357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82"/>
      <c r="Q30" s="1263">
        <f t="shared" si="11"/>
        <v>111</v>
      </c>
      <c r="R30" s="667" t="s">
        <v>14</v>
      </c>
      <c r="S30" s="668">
        <f t="shared" si="12"/>
        <v>100</v>
      </c>
      <c r="T30" s="667" t="s">
        <v>14</v>
      </c>
      <c r="U30" s="668">
        <f t="shared" si="13"/>
        <v>100</v>
      </c>
      <c r="V30" s="667" t="s">
        <v>14</v>
      </c>
      <c r="W30" s="668">
        <f t="shared" si="14"/>
        <v>100</v>
      </c>
      <c r="X30" s="1265"/>
      <c r="Y30" s="357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82"/>
      <c r="Q31" s="1263">
        <f t="shared" si="11"/>
        <v>111</v>
      </c>
      <c r="R31" s="667" t="s">
        <v>14</v>
      </c>
      <c r="S31" s="668">
        <f t="shared" si="12"/>
        <v>100</v>
      </c>
      <c r="T31" s="667" t="s">
        <v>14</v>
      </c>
      <c r="U31" s="668">
        <f t="shared" si="13"/>
        <v>100</v>
      </c>
      <c r="V31" s="667" t="s">
        <v>14</v>
      </c>
      <c r="W31" s="668">
        <f t="shared" si="14"/>
        <v>100</v>
      </c>
      <c r="X31" s="1265"/>
      <c r="Y31" s="357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82"/>
      <c r="Q32" s="1263">
        <f t="shared" si="11"/>
        <v>111</v>
      </c>
      <c r="R32" s="667" t="s">
        <v>14</v>
      </c>
      <c r="S32" s="668">
        <f t="shared" si="12"/>
        <v>100</v>
      </c>
      <c r="T32" s="667" t="s">
        <v>14</v>
      </c>
      <c r="U32" s="668">
        <f t="shared" si="13"/>
        <v>100</v>
      </c>
      <c r="V32" s="667" t="s">
        <v>14</v>
      </c>
      <c r="W32" s="668">
        <f t="shared" si="14"/>
        <v>100</v>
      </c>
      <c r="X32" s="1265"/>
      <c r="Y32" s="357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76" t="s">
        <v>1696</v>
      </c>
      <c r="Q33" s="1263" t="str">
        <f t="shared" si="11"/>
        <v>建筑类型</v>
      </c>
      <c r="R33" s="667" t="s">
        <v>14</v>
      </c>
      <c r="S33" s="668">
        <f t="shared" si="12"/>
        <v>100</v>
      </c>
      <c r="T33" s="667" t="s">
        <v>14</v>
      </c>
      <c r="U33" s="668">
        <f t="shared" si="13"/>
        <v>100</v>
      </c>
      <c r="V33" s="667" t="s">
        <v>14</v>
      </c>
      <c r="W33" s="668">
        <f t="shared" si="14"/>
        <v>100</v>
      </c>
      <c r="X33" s="1265"/>
      <c r="Y33" s="357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77"/>
      <c r="Q34" s="531" t="str">
        <f t="shared" si="11"/>
        <v>项目建筑规模</v>
      </c>
      <c r="R34" s="669" t="s">
        <v>14</v>
      </c>
      <c r="S34" s="670" t="e">
        <f t="shared" si="12"/>
        <v>#N/A</v>
      </c>
      <c r="T34" s="669" t="s">
        <v>14</v>
      </c>
      <c r="U34" s="670" t="e">
        <f t="shared" si="13"/>
        <v>#N/A</v>
      </c>
      <c r="V34" s="669" t="s">
        <v>14</v>
      </c>
      <c r="W34" s="670" t="e">
        <f t="shared" si="14"/>
        <v>#N/A</v>
      </c>
      <c r="X34" s="671"/>
      <c r="Y34" s="357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77"/>
      <c r="Q35" s="1263" t="str">
        <f t="shared" si="11"/>
        <v>建筑结构</v>
      </c>
      <c r="R35" s="667" t="s">
        <v>14</v>
      </c>
      <c r="S35" s="668">
        <f t="shared" si="12"/>
        <v>100</v>
      </c>
      <c r="T35" s="667" t="s">
        <v>14</v>
      </c>
      <c r="U35" s="668">
        <f t="shared" si="13"/>
        <v>100</v>
      </c>
      <c r="V35" s="667" t="s">
        <v>14</v>
      </c>
      <c r="W35" s="668">
        <f t="shared" si="14"/>
        <v>100</v>
      </c>
      <c r="X35" s="1265"/>
      <c r="Y35" s="357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77"/>
      <c r="Q36" s="1263" t="str">
        <f t="shared" si="11"/>
        <v>公共部分装修</v>
      </c>
      <c r="R36" s="667" t="s">
        <v>14</v>
      </c>
      <c r="S36" s="668">
        <f t="shared" si="12"/>
        <v>100</v>
      </c>
      <c r="T36" s="667" t="s">
        <v>14</v>
      </c>
      <c r="U36" s="668">
        <f t="shared" si="13"/>
        <v>100</v>
      </c>
      <c r="V36" s="667" t="s">
        <v>14</v>
      </c>
      <c r="W36" s="668">
        <f t="shared" si="14"/>
        <v>100</v>
      </c>
      <c r="X36" s="1265"/>
      <c r="Y36" s="357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77"/>
      <c r="Q37" s="1263" t="str">
        <f t="shared" si="11"/>
        <v>成新度</v>
      </c>
      <c r="R37" s="667" t="s">
        <v>14</v>
      </c>
      <c r="S37" s="668" t="e">
        <f t="shared" si="12"/>
        <v>#N/A</v>
      </c>
      <c r="T37" s="667" t="s">
        <v>14</v>
      </c>
      <c r="U37" s="668" t="e">
        <f t="shared" si="13"/>
        <v>#N/A</v>
      </c>
      <c r="V37" s="667" t="s">
        <v>14</v>
      </c>
      <c r="W37" s="668" t="e">
        <f t="shared" si="14"/>
        <v>#N/A</v>
      </c>
      <c r="X37" s="1265"/>
      <c r="Y37" s="357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77"/>
      <c r="Q38" s="530" t="str">
        <f t="shared" si="11"/>
        <v>写字楼等级</v>
      </c>
      <c r="R38" s="664" t="s">
        <v>14</v>
      </c>
      <c r="S38" s="665">
        <f t="shared" si="12"/>
        <v>100</v>
      </c>
      <c r="T38" s="664" t="s">
        <v>14</v>
      </c>
      <c r="U38" s="665">
        <f t="shared" si="13"/>
        <v>100</v>
      </c>
      <c r="V38" s="664" t="s">
        <v>14</v>
      </c>
      <c r="W38" s="665">
        <f t="shared" si="14"/>
        <v>100</v>
      </c>
      <c r="X38" s="666"/>
      <c r="Y38" s="35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77" t="s">
        <v>1696</v>
      </c>
      <c r="Q39" s="1263" t="str">
        <f t="shared" si="11"/>
        <v>物业管理</v>
      </c>
      <c r="R39" s="667" t="s">
        <v>14</v>
      </c>
      <c r="S39" s="668">
        <f t="shared" si="12"/>
        <v>100</v>
      </c>
      <c r="T39" s="667" t="s">
        <v>14</v>
      </c>
      <c r="U39" s="668">
        <f t="shared" si="13"/>
        <v>100</v>
      </c>
      <c r="V39" s="667" t="s">
        <v>14</v>
      </c>
      <c r="W39" s="668">
        <f t="shared" si="14"/>
        <v>100</v>
      </c>
      <c r="X39" s="1265"/>
      <c r="Y39" s="357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77"/>
      <c r="Q40" s="1263" t="str">
        <f t="shared" si="11"/>
        <v>市政基础设施</v>
      </c>
      <c r="R40" s="667" t="s">
        <v>14</v>
      </c>
      <c r="S40" s="668">
        <f t="shared" si="12"/>
        <v>100</v>
      </c>
      <c r="T40" s="667" t="s">
        <v>14</v>
      </c>
      <c r="U40" s="668">
        <f t="shared" si="13"/>
        <v>100</v>
      </c>
      <c r="V40" s="667" t="s">
        <v>14</v>
      </c>
      <c r="W40" s="668">
        <f t="shared" si="14"/>
        <v>100</v>
      </c>
      <c r="X40" s="1265"/>
      <c r="Y40" s="357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77"/>
      <c r="Q41" s="1263" t="str">
        <f t="shared" si="11"/>
        <v>层高</v>
      </c>
      <c r="R41" s="667" t="s">
        <v>14</v>
      </c>
      <c r="S41" s="668">
        <f t="shared" si="12"/>
        <v>100</v>
      </c>
      <c r="T41" s="667" t="s">
        <v>14</v>
      </c>
      <c r="U41" s="668">
        <f t="shared" si="13"/>
        <v>100</v>
      </c>
      <c r="V41" s="667" t="s">
        <v>14</v>
      </c>
      <c r="W41" s="668">
        <f t="shared" si="14"/>
        <v>100</v>
      </c>
      <c r="X41" s="1265"/>
      <c r="Y41" s="357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77"/>
      <c r="Q42" s="531" t="str">
        <f t="shared" si="11"/>
        <v>单套建筑面积</v>
      </c>
      <c r="R42" s="669" t="s">
        <v>14</v>
      </c>
      <c r="S42" s="670">
        <f t="shared" si="12"/>
        <v>100</v>
      </c>
      <c r="T42" s="669" t="s">
        <v>14</v>
      </c>
      <c r="U42" s="670">
        <f t="shared" si="13"/>
        <v>100</v>
      </c>
      <c r="V42" s="669" t="s">
        <v>14</v>
      </c>
      <c r="W42" s="670">
        <f t="shared" si="14"/>
        <v>100</v>
      </c>
      <c r="X42" s="671"/>
      <c r="Y42" s="357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77"/>
      <c r="Q43" s="1263" t="str">
        <f t="shared" si="11"/>
        <v>内部装修</v>
      </c>
      <c r="R43" s="667" t="s">
        <v>14</v>
      </c>
      <c r="S43" s="668">
        <f t="shared" si="12"/>
        <v>100</v>
      </c>
      <c r="T43" s="667" t="s">
        <v>14</v>
      </c>
      <c r="U43" s="668">
        <f t="shared" si="13"/>
        <v>100</v>
      </c>
      <c r="V43" s="667" t="s">
        <v>14</v>
      </c>
      <c r="W43" s="668">
        <f t="shared" si="14"/>
        <v>100</v>
      </c>
      <c r="X43" s="1265"/>
      <c r="Y43" s="357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77"/>
      <c r="Q44" s="1263" t="str">
        <f t="shared" si="11"/>
        <v>内部装修维护情况</v>
      </c>
      <c r="R44" s="667" t="s">
        <v>14</v>
      </c>
      <c r="S44" s="668">
        <f t="shared" si="12"/>
        <v>100</v>
      </c>
      <c r="T44" s="667" t="s">
        <v>14</v>
      </c>
      <c r="U44" s="668">
        <f t="shared" si="13"/>
        <v>100</v>
      </c>
      <c r="V44" s="667" t="s">
        <v>14</v>
      </c>
      <c r="W44" s="668">
        <f t="shared" si="14"/>
        <v>100</v>
      </c>
      <c r="X44" s="1265"/>
      <c r="Y44" s="357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77"/>
      <c r="Q45" s="530">
        <f t="shared" si="11"/>
        <v>111</v>
      </c>
      <c r="R45" s="664" t="s">
        <v>14</v>
      </c>
      <c r="S45" s="665">
        <f t="shared" si="12"/>
        <v>100</v>
      </c>
      <c r="T45" s="664" t="s">
        <v>14</v>
      </c>
      <c r="U45" s="665">
        <f t="shared" si="13"/>
        <v>100</v>
      </c>
      <c r="V45" s="664" t="s">
        <v>14</v>
      </c>
      <c r="W45" s="665">
        <f t="shared" si="14"/>
        <v>100</v>
      </c>
      <c r="X45" s="666"/>
      <c r="Y45" s="35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77"/>
      <c r="Q46" s="1263">
        <f t="shared" si="11"/>
        <v>111</v>
      </c>
      <c r="R46" s="667" t="s">
        <v>14</v>
      </c>
      <c r="S46" s="668">
        <f t="shared" si="12"/>
        <v>100</v>
      </c>
      <c r="T46" s="667" t="s">
        <v>14</v>
      </c>
      <c r="U46" s="668">
        <f t="shared" si="13"/>
        <v>100</v>
      </c>
      <c r="V46" s="667" t="s">
        <v>14</v>
      </c>
      <c r="W46" s="668">
        <f t="shared" si="14"/>
        <v>100</v>
      </c>
      <c r="X46" s="1265"/>
      <c r="Y46" s="357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78"/>
      <c r="Q47" s="1263">
        <f t="shared" si="11"/>
        <v>111</v>
      </c>
      <c r="R47" s="667" t="s">
        <v>14</v>
      </c>
      <c r="S47" s="668">
        <f t="shared" si="12"/>
        <v>100</v>
      </c>
      <c r="T47" s="667" t="s">
        <v>14</v>
      </c>
      <c r="U47" s="668">
        <f t="shared" si="13"/>
        <v>100</v>
      </c>
      <c r="V47" s="667" t="s">
        <v>14</v>
      </c>
      <c r="W47" s="668">
        <f t="shared" si="14"/>
        <v>100</v>
      </c>
      <c r="X47" s="1265"/>
      <c r="Y47" s="358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55" t="str">
        <f>A48</f>
        <v>成交单价（元/平方米）</v>
      </c>
      <c r="Q48" s="3573"/>
      <c r="R48" s="3568">
        <f>E48</f>
        <v>0</v>
      </c>
      <c r="S48" s="3568"/>
      <c r="T48" s="3568">
        <f>G48</f>
        <v>0</v>
      </c>
      <c r="U48" s="3568"/>
      <c r="V48" s="3568">
        <f>I48</f>
        <v>0</v>
      </c>
      <c r="W48" s="356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55" t="str">
        <f>A49</f>
        <v>比较价值（元/平方米）</v>
      </c>
      <c r="Q49" s="3573"/>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15" t="str">
        <f>A50</f>
        <v>估价对象XX用房的比较价值（楼面单价，元/平方米）</v>
      </c>
      <c r="Q50" s="3616"/>
      <c r="R50" s="3617" t="e">
        <f>IF(F1="售价",ROUND(IF(D49="简单平均",AVERAGE(R49:V49),R49*F49+T49*H49+V49*J49),0),ROUND(IF(D49="简单平均",AVERAGE(R49:V49),R49*F49+T49*H49+V49*J49),1))</f>
        <v>#DIV/0!</v>
      </c>
      <c r="S50" s="3617"/>
      <c r="T50" s="3617"/>
      <c r="U50" s="3617"/>
      <c r="V50" s="3617"/>
      <c r="W50" s="361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860"/>
      <c r="M4" s="861"/>
      <c r="N4" s="861"/>
      <c r="O4" s="861"/>
      <c r="P4" s="3560" t="s">
        <v>1775</v>
      </c>
      <c r="Q4" s="3561"/>
      <c r="R4" s="3543" t="s">
        <v>1771</v>
      </c>
      <c r="S4" s="3544"/>
      <c r="T4" s="3543" t="s">
        <v>1772</v>
      </c>
      <c r="U4" s="3544"/>
      <c r="V4" s="3568" t="s">
        <v>1773</v>
      </c>
      <c r="W4" s="3568"/>
      <c r="X4" s="1265"/>
      <c r="Y4" s="3543" t="s">
        <v>1775</v>
      </c>
      <c r="Z4" s="3544"/>
      <c r="AA4" s="3538" t="s">
        <v>1771</v>
      </c>
      <c r="AB4" s="3539" t="s">
        <v>1772</v>
      </c>
      <c r="AC4" s="3538" t="s">
        <v>1773</v>
      </c>
    </row>
    <row r="5" spans="1:29" ht="15">
      <c r="A5" s="348"/>
      <c r="B5" s="349"/>
      <c r="C5" s="3549" t="s">
        <v>1673</v>
      </c>
      <c r="D5" s="3550"/>
      <c r="E5" s="3547" t="s">
        <v>1674</v>
      </c>
      <c r="F5" s="3548"/>
      <c r="G5" s="3549" t="s">
        <v>1675</v>
      </c>
      <c r="H5" s="3550"/>
      <c r="I5" s="3549" t="s">
        <v>1676</v>
      </c>
      <c r="J5" s="3550"/>
      <c r="K5" s="537"/>
      <c r="L5" s="860"/>
      <c r="M5" s="861"/>
      <c r="N5" s="861"/>
      <c r="O5" s="861"/>
      <c r="P5" s="3562"/>
      <c r="Q5" s="3563"/>
      <c r="R5" s="3545"/>
      <c r="S5" s="3546"/>
      <c r="T5" s="3545"/>
      <c r="U5" s="3546"/>
      <c r="V5" s="3568"/>
      <c r="W5" s="3568"/>
      <c r="X5" s="1265"/>
      <c r="Y5" s="3545"/>
      <c r="Z5" s="3546"/>
      <c r="AA5" s="3539"/>
      <c r="AB5" s="3539"/>
      <c r="AC5" s="3539"/>
    </row>
    <row r="6" spans="1:29" ht="15.75" thickBot="1">
      <c r="A6" s="350"/>
      <c r="B6" s="351"/>
      <c r="C6" s="3551" t="s">
        <v>1677</v>
      </c>
      <c r="D6" s="3552"/>
      <c r="E6" s="3553" t="s">
        <v>1677</v>
      </c>
      <c r="F6" s="3554"/>
      <c r="G6" s="3551" t="s">
        <v>1677</v>
      </c>
      <c r="H6" s="3552"/>
      <c r="I6" s="3551" t="s">
        <v>1677</v>
      </c>
      <c r="J6" s="3552"/>
      <c r="K6" s="537" t="s">
        <v>1678</v>
      </c>
      <c r="L6" s="860"/>
      <c r="M6" s="861"/>
      <c r="N6" s="861"/>
      <c r="O6" s="861"/>
      <c r="P6" s="3564"/>
      <c r="Q6" s="3565"/>
      <c r="R6" s="3545"/>
      <c r="S6" s="3546"/>
      <c r="T6" s="3566"/>
      <c r="U6" s="3567"/>
      <c r="V6" s="3568"/>
      <c r="W6" s="3568"/>
      <c r="X6" s="1265"/>
      <c r="Y6" s="3566"/>
      <c r="Z6" s="3567"/>
      <c r="AA6" s="3540"/>
      <c r="AB6" s="3540"/>
      <c r="AC6" s="3540"/>
    </row>
    <row r="7" spans="1:29" s="102" customFormat="1" ht="15.75" thickBot="1">
      <c r="A7" s="352" t="s">
        <v>1679</v>
      </c>
      <c r="B7" s="353"/>
      <c r="C7" s="354">
        <f>'数据-取费表'!B2</f>
        <v>45880</v>
      </c>
      <c r="D7" s="355">
        <v>100</v>
      </c>
      <c r="E7" s="356"/>
      <c r="F7" s="357">
        <f>SUMIF(52:52,YEAR(E7)&amp;"-"&amp;MONTH(E7),53:53)</f>
        <v>0</v>
      </c>
      <c r="G7" s="356"/>
      <c r="H7" s="355">
        <f>SUMIF(52:52,YEAR(G7)&amp;"-"&amp;MONTH(G7),53:53)</f>
        <v>0</v>
      </c>
      <c r="I7" s="356"/>
      <c r="J7" s="355">
        <f>SUMIF(52:52,YEAR(I7)&amp;"-"&amp;MONTH(I7),53:53)</f>
        <v>0</v>
      </c>
      <c r="K7" s="38"/>
      <c r="L7" s="862"/>
      <c r="M7" s="863"/>
      <c r="N7" s="863"/>
      <c r="O7" s="863"/>
      <c r="P7" s="3541" t="s">
        <v>1680</v>
      </c>
      <c r="Q7" s="3569"/>
      <c r="R7" s="664" t="s">
        <v>14</v>
      </c>
      <c r="S7" s="665">
        <f t="shared" ref="S7:S15" si="0">F7</f>
        <v>0</v>
      </c>
      <c r="T7" s="664" t="s">
        <v>14</v>
      </c>
      <c r="U7" s="665">
        <f t="shared" ref="U7:U15" si="1">H7</f>
        <v>0</v>
      </c>
      <c r="V7" s="664" t="s">
        <v>14</v>
      </c>
      <c r="W7" s="665">
        <f t="shared" ref="W7:W15" si="2">J7</f>
        <v>0</v>
      </c>
      <c r="X7" s="666"/>
      <c r="Y7" s="3541" t="s">
        <v>1680</v>
      </c>
      <c r="Z7" s="354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1" t="s">
        <v>1683</v>
      </c>
      <c r="Q8" s="3542"/>
      <c r="R8" s="664" t="s">
        <v>14</v>
      </c>
      <c r="S8" s="665">
        <f t="shared" si="0"/>
        <v>100</v>
      </c>
      <c r="T8" s="664" t="s">
        <v>14</v>
      </c>
      <c r="U8" s="665">
        <f t="shared" si="1"/>
        <v>100</v>
      </c>
      <c r="V8" s="664" t="s">
        <v>14</v>
      </c>
      <c r="W8" s="665">
        <f t="shared" si="2"/>
        <v>100</v>
      </c>
      <c r="X8" s="666"/>
      <c r="Y8" s="3541" t="s">
        <v>1683</v>
      </c>
      <c r="Z8" s="354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73" t="s">
        <v>1686</v>
      </c>
      <c r="Q9" s="530" t="str">
        <f t="shared" ref="Q9:Q15" si="6">B9</f>
        <v>用途</v>
      </c>
      <c r="R9" s="664" t="s">
        <v>14</v>
      </c>
      <c r="S9" s="665">
        <f t="shared" si="0"/>
        <v>100</v>
      </c>
      <c r="T9" s="664" t="s">
        <v>14</v>
      </c>
      <c r="U9" s="665">
        <f t="shared" si="1"/>
        <v>100</v>
      </c>
      <c r="V9" s="664" t="s">
        <v>14</v>
      </c>
      <c r="W9" s="665">
        <f t="shared" si="2"/>
        <v>100</v>
      </c>
      <c r="X9" s="666"/>
      <c r="Y9" s="34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73"/>
      <c r="Q10" s="530" t="str">
        <f t="shared" si="6"/>
        <v>土地使用年限（年）</v>
      </c>
      <c r="R10" s="664" t="s">
        <v>14</v>
      </c>
      <c r="S10" s="665">
        <f t="shared" si="0"/>
        <v>100</v>
      </c>
      <c r="T10" s="664" t="s">
        <v>14</v>
      </c>
      <c r="U10" s="665">
        <f t="shared" si="1"/>
        <v>100</v>
      </c>
      <c r="V10" s="664" t="s">
        <v>14</v>
      </c>
      <c r="W10" s="665">
        <f t="shared" si="2"/>
        <v>100</v>
      </c>
      <c r="X10" s="666"/>
      <c r="Y10" s="34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73"/>
      <c r="Q11" s="530" t="str">
        <f t="shared" si="6"/>
        <v>容积率</v>
      </c>
      <c r="R11" s="664" t="s">
        <v>14</v>
      </c>
      <c r="S11" s="665">
        <f t="shared" si="0"/>
        <v>100</v>
      </c>
      <c r="T11" s="664" t="s">
        <v>14</v>
      </c>
      <c r="U11" s="665">
        <f t="shared" si="1"/>
        <v>100</v>
      </c>
      <c r="V11" s="664" t="s">
        <v>14</v>
      </c>
      <c r="W11" s="665">
        <f t="shared" si="2"/>
        <v>100</v>
      </c>
      <c r="X11" s="666"/>
      <c r="Y11" s="34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73"/>
      <c r="Q12" s="530">
        <f t="shared" si="6"/>
        <v>111</v>
      </c>
      <c r="R12" s="664" t="s">
        <v>14</v>
      </c>
      <c r="S12" s="665">
        <f t="shared" si="0"/>
        <v>100</v>
      </c>
      <c r="T12" s="664" t="s">
        <v>14</v>
      </c>
      <c r="U12" s="665">
        <f t="shared" si="1"/>
        <v>100</v>
      </c>
      <c r="V12" s="664" t="s">
        <v>14</v>
      </c>
      <c r="W12" s="665">
        <f t="shared" si="2"/>
        <v>100</v>
      </c>
      <c r="X12" s="666"/>
      <c r="Y12" s="34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73"/>
      <c r="Q13" s="530">
        <f t="shared" si="6"/>
        <v>111</v>
      </c>
      <c r="R13" s="664" t="s">
        <v>14</v>
      </c>
      <c r="S13" s="665">
        <f t="shared" si="0"/>
        <v>100</v>
      </c>
      <c r="T13" s="664" t="s">
        <v>14</v>
      </c>
      <c r="U13" s="665">
        <f t="shared" si="1"/>
        <v>100</v>
      </c>
      <c r="V13" s="664" t="s">
        <v>14</v>
      </c>
      <c r="W13" s="665">
        <f t="shared" si="2"/>
        <v>100</v>
      </c>
      <c r="X13" s="666"/>
      <c r="Y13" s="34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73"/>
      <c r="Q14" s="530">
        <f t="shared" si="6"/>
        <v>111</v>
      </c>
      <c r="R14" s="664" t="s">
        <v>14</v>
      </c>
      <c r="S14" s="665">
        <f t="shared" si="0"/>
        <v>100</v>
      </c>
      <c r="T14" s="664" t="s">
        <v>14</v>
      </c>
      <c r="U14" s="665">
        <f t="shared" si="1"/>
        <v>100</v>
      </c>
      <c r="V14" s="664" t="s">
        <v>14</v>
      </c>
      <c r="W14" s="665">
        <f t="shared" si="2"/>
        <v>100</v>
      </c>
      <c r="X14" s="666"/>
      <c r="Y14" s="34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74" t="s">
        <v>1691</v>
      </c>
      <c r="Q15" s="1263" t="str">
        <f t="shared" si="6"/>
        <v>产业集聚程度</v>
      </c>
      <c r="R15" s="667" t="s">
        <v>14</v>
      </c>
      <c r="S15" s="668">
        <f t="shared" si="0"/>
        <v>100</v>
      </c>
      <c r="T15" s="667" t="s">
        <v>14</v>
      </c>
      <c r="U15" s="668">
        <f t="shared" si="1"/>
        <v>100</v>
      </c>
      <c r="V15" s="667" t="s">
        <v>14</v>
      </c>
      <c r="W15" s="668">
        <f t="shared" si="2"/>
        <v>100</v>
      </c>
      <c r="X15" s="1265"/>
      <c r="Y15" s="357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75"/>
      <c r="Q16" s="1263"/>
      <c r="R16" s="667"/>
      <c r="S16" s="668"/>
      <c r="T16" s="667"/>
      <c r="U16" s="668"/>
      <c r="V16" s="667"/>
      <c r="W16" s="668"/>
      <c r="X16" s="1265"/>
      <c r="Y16" s="357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75"/>
      <c r="Q17" s="1263" t="str">
        <f>B17</f>
        <v>交通便捷度</v>
      </c>
      <c r="R17" s="667" t="s">
        <v>14</v>
      </c>
      <c r="S17" s="668">
        <f>F17</f>
        <v>100</v>
      </c>
      <c r="T17" s="667" t="s">
        <v>14</v>
      </c>
      <c r="U17" s="668">
        <f>H17</f>
        <v>100</v>
      </c>
      <c r="V17" s="667" t="s">
        <v>14</v>
      </c>
      <c r="W17" s="668">
        <f>J17</f>
        <v>100</v>
      </c>
      <c r="X17" s="1265"/>
      <c r="Y17" s="35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75"/>
      <c r="Q18" s="1263"/>
      <c r="R18" s="667"/>
      <c r="S18" s="668"/>
      <c r="T18" s="667"/>
      <c r="U18" s="668"/>
      <c r="V18" s="667"/>
      <c r="W18" s="668"/>
      <c r="X18" s="1265"/>
      <c r="Y18" s="357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75"/>
      <c r="Q19" s="1263" t="str">
        <f>B19</f>
        <v>公共配套设施</v>
      </c>
      <c r="R19" s="667" t="s">
        <v>14</v>
      </c>
      <c r="S19" s="668">
        <f>F19</f>
        <v>100</v>
      </c>
      <c r="T19" s="667" t="s">
        <v>14</v>
      </c>
      <c r="U19" s="668">
        <f>H19</f>
        <v>100</v>
      </c>
      <c r="V19" s="667" t="s">
        <v>14</v>
      </c>
      <c r="W19" s="668">
        <f>J19</f>
        <v>100</v>
      </c>
      <c r="X19" s="1265"/>
      <c r="Y19" s="35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75"/>
      <c r="Q20" s="1263"/>
      <c r="R20" s="667"/>
      <c r="S20" s="668"/>
      <c r="T20" s="667"/>
      <c r="U20" s="668"/>
      <c r="V20" s="667"/>
      <c r="W20" s="668"/>
      <c r="X20" s="1265"/>
      <c r="Y20" s="357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75"/>
      <c r="Q21" s="1263" t="str">
        <f>B21</f>
        <v>基础设施水平</v>
      </c>
      <c r="R21" s="667" t="s">
        <v>14</v>
      </c>
      <c r="S21" s="668">
        <f>F21</f>
        <v>100</v>
      </c>
      <c r="T21" s="667" t="s">
        <v>14</v>
      </c>
      <c r="U21" s="668">
        <f>H21</f>
        <v>100</v>
      </c>
      <c r="V21" s="667" t="s">
        <v>14</v>
      </c>
      <c r="W21" s="668">
        <f>J21</f>
        <v>100</v>
      </c>
      <c r="X21" s="1265"/>
      <c r="Y21" s="35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75"/>
      <c r="Q22" s="1263"/>
      <c r="R22" s="667"/>
      <c r="S22" s="668"/>
      <c r="T22" s="667"/>
      <c r="U22" s="668"/>
      <c r="V22" s="667"/>
      <c r="W22" s="668"/>
      <c r="X22" s="1265"/>
      <c r="Y22" s="357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75"/>
      <c r="Q23" s="1263" t="str">
        <f>B23</f>
        <v>环境质量</v>
      </c>
      <c r="R23" s="667" t="s">
        <v>14</v>
      </c>
      <c r="S23" s="668">
        <f>F23</f>
        <v>100</v>
      </c>
      <c r="T23" s="667" t="s">
        <v>14</v>
      </c>
      <c r="U23" s="668">
        <f>H23</f>
        <v>100</v>
      </c>
      <c r="V23" s="667" t="s">
        <v>14</v>
      </c>
      <c r="W23" s="668">
        <f>J23</f>
        <v>100</v>
      </c>
      <c r="X23" s="1265"/>
      <c r="Y23" s="357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75"/>
      <c r="Q24" s="1263"/>
      <c r="R24" s="667"/>
      <c r="S24" s="668"/>
      <c r="T24" s="667"/>
      <c r="U24" s="668"/>
      <c r="V24" s="667"/>
      <c r="W24" s="668"/>
      <c r="X24" s="1265"/>
      <c r="Y24" s="357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75"/>
      <c r="Q25" s="1263">
        <f>B25</f>
        <v>111</v>
      </c>
      <c r="R25" s="667" t="s">
        <v>14</v>
      </c>
      <c r="S25" s="668">
        <f>F25</f>
        <v>100</v>
      </c>
      <c r="T25" s="667" t="s">
        <v>14</v>
      </c>
      <c r="U25" s="668">
        <f>H25</f>
        <v>100</v>
      </c>
      <c r="V25" s="667" t="s">
        <v>14</v>
      </c>
      <c r="W25" s="668">
        <f>J25</f>
        <v>100</v>
      </c>
      <c r="X25" s="1265"/>
      <c r="Y25" s="357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75"/>
      <c r="Q26" s="1263">
        <f t="shared" ref="Q26:Q40" si="11">B26</f>
        <v>111</v>
      </c>
      <c r="R26" s="667" t="s">
        <v>14</v>
      </c>
      <c r="S26" s="668">
        <f>F26</f>
        <v>100</v>
      </c>
      <c r="T26" s="667" t="s">
        <v>14</v>
      </c>
      <c r="U26" s="668">
        <f>H26</f>
        <v>100</v>
      </c>
      <c r="V26" s="667" t="s">
        <v>14</v>
      </c>
      <c r="W26" s="668">
        <f>J26</f>
        <v>100</v>
      </c>
      <c r="X26" s="1265"/>
      <c r="Y26" s="357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75"/>
      <c r="Q27" s="530">
        <f t="shared" si="11"/>
        <v>111</v>
      </c>
      <c r="R27" s="664" t="s">
        <v>14</v>
      </c>
      <c r="S27" s="665">
        <f>F27</f>
        <v>100</v>
      </c>
      <c r="T27" s="664" t="s">
        <v>14</v>
      </c>
      <c r="U27" s="665">
        <f>H27</f>
        <v>100</v>
      </c>
      <c r="V27" s="664" t="s">
        <v>14</v>
      </c>
      <c r="W27" s="665">
        <f>J27</f>
        <v>100</v>
      </c>
      <c r="X27" s="666"/>
      <c r="Y27" s="357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75"/>
      <c r="Q28" s="1263">
        <f t="shared" si="11"/>
        <v>111</v>
      </c>
      <c r="R28" s="667" t="s">
        <v>14</v>
      </c>
      <c r="S28" s="668">
        <f t="shared" ref="S28:S40" si="12">F28</f>
        <v>100</v>
      </c>
      <c r="T28" s="667" t="s">
        <v>14</v>
      </c>
      <c r="U28" s="668">
        <f t="shared" ref="U28:U40" si="13">H28</f>
        <v>100</v>
      </c>
      <c r="V28" s="667" t="s">
        <v>14</v>
      </c>
      <c r="W28" s="668">
        <f t="shared" ref="W28:W40" si="14">J28</f>
        <v>100</v>
      </c>
      <c r="X28" s="1265"/>
      <c r="Y28" s="357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18" t="s">
        <v>1696</v>
      </c>
      <c r="Q29" s="1263" t="str">
        <f t="shared" si="11"/>
        <v>建筑类型</v>
      </c>
      <c r="R29" s="667" t="s">
        <v>14</v>
      </c>
      <c r="S29" s="668">
        <f t="shared" si="12"/>
        <v>100</v>
      </c>
      <c r="T29" s="667" t="s">
        <v>14</v>
      </c>
      <c r="U29" s="668">
        <f t="shared" si="13"/>
        <v>100</v>
      </c>
      <c r="V29" s="667" t="s">
        <v>14</v>
      </c>
      <c r="W29" s="668">
        <f t="shared" si="14"/>
        <v>100</v>
      </c>
      <c r="X29" s="1265"/>
      <c r="Y29" s="357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79"/>
      <c r="Q30" s="531" t="str">
        <f t="shared" si="11"/>
        <v>项目建筑规模</v>
      </c>
      <c r="R30" s="669" t="s">
        <v>14</v>
      </c>
      <c r="S30" s="670" t="e">
        <f t="shared" si="12"/>
        <v>#N/A</v>
      </c>
      <c r="T30" s="669" t="s">
        <v>14</v>
      </c>
      <c r="U30" s="670" t="e">
        <f t="shared" si="13"/>
        <v>#N/A</v>
      </c>
      <c r="V30" s="669" t="s">
        <v>14</v>
      </c>
      <c r="W30" s="670" t="e">
        <f t="shared" si="14"/>
        <v>#N/A</v>
      </c>
      <c r="X30" s="671"/>
      <c r="Y30" s="357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79"/>
      <c r="Q31" s="1263" t="str">
        <f t="shared" si="11"/>
        <v>建筑结构</v>
      </c>
      <c r="R31" s="667" t="s">
        <v>14</v>
      </c>
      <c r="S31" s="668">
        <f t="shared" si="12"/>
        <v>100</v>
      </c>
      <c r="T31" s="667" t="s">
        <v>14</v>
      </c>
      <c r="U31" s="668">
        <f t="shared" si="13"/>
        <v>100</v>
      </c>
      <c r="V31" s="667" t="s">
        <v>14</v>
      </c>
      <c r="W31" s="668">
        <f t="shared" si="14"/>
        <v>100</v>
      </c>
      <c r="X31" s="1265"/>
      <c r="Y31" s="357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79"/>
      <c r="Q32" s="1263" t="str">
        <f t="shared" si="11"/>
        <v>公共部分装修</v>
      </c>
      <c r="R32" s="667" t="s">
        <v>14</v>
      </c>
      <c r="S32" s="668">
        <f t="shared" si="12"/>
        <v>100</v>
      </c>
      <c r="T32" s="667" t="s">
        <v>14</v>
      </c>
      <c r="U32" s="668">
        <f t="shared" si="13"/>
        <v>100</v>
      </c>
      <c r="V32" s="667" t="s">
        <v>14</v>
      </c>
      <c r="W32" s="668">
        <f t="shared" si="14"/>
        <v>100</v>
      </c>
      <c r="X32" s="1265"/>
      <c r="Y32" s="357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79"/>
      <c r="Q33" s="1263" t="str">
        <f t="shared" si="11"/>
        <v>成新度</v>
      </c>
      <c r="R33" s="667" t="s">
        <v>14</v>
      </c>
      <c r="S33" s="668" t="e">
        <f t="shared" si="12"/>
        <v>#N/A</v>
      </c>
      <c r="T33" s="667" t="s">
        <v>14</v>
      </c>
      <c r="U33" s="668" t="e">
        <f t="shared" si="13"/>
        <v>#N/A</v>
      </c>
      <c r="V33" s="667" t="s">
        <v>14</v>
      </c>
      <c r="W33" s="668" t="e">
        <f t="shared" si="14"/>
        <v>#N/A</v>
      </c>
      <c r="X33" s="1265"/>
      <c r="Y33" s="357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79"/>
      <c r="Q34" s="530" t="str">
        <f t="shared" si="11"/>
        <v>物业管理</v>
      </c>
      <c r="R34" s="664" t="s">
        <v>14</v>
      </c>
      <c r="S34" s="665">
        <f t="shared" si="12"/>
        <v>100</v>
      </c>
      <c r="T34" s="664" t="s">
        <v>14</v>
      </c>
      <c r="U34" s="665">
        <f t="shared" si="13"/>
        <v>100</v>
      </c>
      <c r="V34" s="664" t="s">
        <v>14</v>
      </c>
      <c r="W34" s="665">
        <f t="shared" si="14"/>
        <v>100</v>
      </c>
      <c r="X34" s="666"/>
      <c r="Y34" s="35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79" t="s">
        <v>1696</v>
      </c>
      <c r="Q35" s="1263" t="str">
        <f t="shared" si="11"/>
        <v>市政基础设施</v>
      </c>
      <c r="R35" s="667" t="s">
        <v>14</v>
      </c>
      <c r="S35" s="668">
        <f t="shared" si="12"/>
        <v>100</v>
      </c>
      <c r="T35" s="667" t="s">
        <v>14</v>
      </c>
      <c r="U35" s="668">
        <f t="shared" si="13"/>
        <v>100</v>
      </c>
      <c r="V35" s="667" t="s">
        <v>14</v>
      </c>
      <c r="W35" s="668">
        <f t="shared" si="14"/>
        <v>100</v>
      </c>
      <c r="X35" s="1265"/>
      <c r="Y35" s="357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79"/>
      <c r="Q36" s="1263" t="str">
        <f t="shared" si="11"/>
        <v>内部装修</v>
      </c>
      <c r="R36" s="667" t="s">
        <v>14</v>
      </c>
      <c r="S36" s="668">
        <f t="shared" si="12"/>
        <v>100</v>
      </c>
      <c r="T36" s="667" t="s">
        <v>14</v>
      </c>
      <c r="U36" s="668">
        <f t="shared" si="13"/>
        <v>100</v>
      </c>
      <c r="V36" s="667" t="s">
        <v>14</v>
      </c>
      <c r="W36" s="668">
        <f t="shared" si="14"/>
        <v>100</v>
      </c>
      <c r="X36" s="1265"/>
      <c r="Y36" s="357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79"/>
      <c r="Q37" s="1263" t="str">
        <f t="shared" si="11"/>
        <v>内部装修状况</v>
      </c>
      <c r="R37" s="667" t="s">
        <v>14</v>
      </c>
      <c r="S37" s="668">
        <f t="shared" si="12"/>
        <v>100</v>
      </c>
      <c r="T37" s="667" t="s">
        <v>14</v>
      </c>
      <c r="U37" s="668">
        <f t="shared" si="13"/>
        <v>100</v>
      </c>
      <c r="V37" s="667" t="s">
        <v>14</v>
      </c>
      <c r="W37" s="668">
        <f t="shared" si="14"/>
        <v>100</v>
      </c>
      <c r="X37" s="1265"/>
      <c r="Y37" s="35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79"/>
      <c r="Q38" s="531">
        <f t="shared" si="11"/>
        <v>111</v>
      </c>
      <c r="R38" s="669" t="s">
        <v>14</v>
      </c>
      <c r="S38" s="670">
        <f t="shared" si="12"/>
        <v>100</v>
      </c>
      <c r="T38" s="669" t="s">
        <v>14</v>
      </c>
      <c r="U38" s="670">
        <f t="shared" si="13"/>
        <v>100</v>
      </c>
      <c r="V38" s="669" t="s">
        <v>14</v>
      </c>
      <c r="W38" s="670">
        <f t="shared" si="14"/>
        <v>100</v>
      </c>
      <c r="X38" s="671"/>
      <c r="Y38" s="35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79"/>
      <c r="Q39" s="1263">
        <f t="shared" si="11"/>
        <v>111</v>
      </c>
      <c r="R39" s="667" t="s">
        <v>14</v>
      </c>
      <c r="S39" s="668">
        <f t="shared" si="12"/>
        <v>100</v>
      </c>
      <c r="T39" s="667" t="s">
        <v>14</v>
      </c>
      <c r="U39" s="668">
        <f t="shared" si="13"/>
        <v>100</v>
      </c>
      <c r="V39" s="667" t="s">
        <v>14</v>
      </c>
      <c r="W39" s="668">
        <f t="shared" si="14"/>
        <v>100</v>
      </c>
      <c r="X39" s="1265"/>
      <c r="Y39" s="357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80"/>
      <c r="Q40" s="1263">
        <f t="shared" si="11"/>
        <v>111</v>
      </c>
      <c r="R40" s="667" t="s">
        <v>14</v>
      </c>
      <c r="S40" s="668">
        <f t="shared" si="12"/>
        <v>100</v>
      </c>
      <c r="T40" s="667" t="s">
        <v>14</v>
      </c>
      <c r="U40" s="668">
        <f t="shared" si="13"/>
        <v>100</v>
      </c>
      <c r="V40" s="667" t="s">
        <v>14</v>
      </c>
      <c r="W40" s="668">
        <f t="shared" si="14"/>
        <v>100</v>
      </c>
      <c r="X40" s="1265"/>
      <c r="Y40" s="358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73" t="str">
        <f>A41</f>
        <v>成交单价（元/平方米）</v>
      </c>
      <c r="Q41" s="3573"/>
      <c r="R41" s="3568">
        <f>E41</f>
        <v>0</v>
      </c>
      <c r="S41" s="3568"/>
      <c r="T41" s="3568">
        <f>G41</f>
        <v>0</v>
      </c>
      <c r="U41" s="3568"/>
      <c r="V41" s="3568">
        <f>I41</f>
        <v>0</v>
      </c>
      <c r="W41" s="356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73" t="str">
        <f>A42</f>
        <v>比较价值（元/平方米）</v>
      </c>
      <c r="Q42" s="3573"/>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70" t="str">
        <f>A43</f>
        <v>估价对象XX用房的比较价值（楼面单价，元/平方米）</v>
      </c>
      <c r="Q43" s="3571"/>
      <c r="R43" s="3572" t="e">
        <f>IF(F1="售价",ROUND(IF(D42="简单平均",AVERAGE(R42:V42),R42*F42+T42*H42+V42*J42),0),ROUND(IF(D42="简单平均",AVERAGE(R42:V42),R42*F42+T42*H42+V42*J42),1))</f>
        <v>#DIV/0!</v>
      </c>
      <c r="S43" s="3572"/>
      <c r="T43" s="3572"/>
      <c r="U43" s="3572"/>
      <c r="V43" s="3572"/>
      <c r="W43" s="357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7" zoomScale="115" zoomScaleNormal="60" zoomScaleSheetLayoutView="115" workbookViewId="0">
      <selection activeCell="E33" sqref="E3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3746</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43" t="s">
        <v>1771</v>
      </c>
      <c r="S4" s="3544"/>
      <c r="T4" s="3543" t="s">
        <v>1772</v>
      </c>
      <c r="U4" s="3544"/>
      <c r="V4" s="3568" t="s">
        <v>1773</v>
      </c>
      <c r="W4" s="3568"/>
      <c r="X4" s="1265"/>
      <c r="Y4" s="3543" t="s">
        <v>1775</v>
      </c>
      <c r="Z4" s="3544"/>
      <c r="AA4" s="3538" t="s">
        <v>1771</v>
      </c>
      <c r="AB4" s="3539" t="s">
        <v>1772</v>
      </c>
      <c r="AC4" s="3538" t="s">
        <v>1773</v>
      </c>
    </row>
    <row r="5" spans="1:29" ht="15">
      <c r="A5" s="348"/>
      <c r="B5" s="349"/>
      <c r="C5" s="3602" t="s">
        <v>3997</v>
      </c>
      <c r="D5" s="3550"/>
      <c r="E5" s="3547" t="str">
        <f>案例!V21</f>
        <v>慧谷时空</v>
      </c>
      <c r="F5" s="3548"/>
      <c r="G5" s="3549" t="str">
        <f>案例!V23</f>
        <v>保利中央公园</v>
      </c>
      <c r="H5" s="3550"/>
      <c r="I5" s="3549" t="str">
        <f>案例!V25</f>
        <v>华彩国际公寓</v>
      </c>
      <c r="J5" s="3550"/>
      <c r="K5" s="537"/>
      <c r="L5" s="2486"/>
      <c r="M5" s="2487"/>
      <c r="N5" s="2487"/>
      <c r="O5" s="2487"/>
      <c r="P5" s="3562"/>
      <c r="Q5" s="3563"/>
      <c r="R5" s="3545"/>
      <c r="S5" s="3546"/>
      <c r="T5" s="3545"/>
      <c r="U5" s="3546"/>
      <c r="V5" s="3568"/>
      <c r="W5" s="3568"/>
      <c r="X5" s="1265"/>
      <c r="Y5" s="3545"/>
      <c r="Z5" s="3546"/>
      <c r="AA5" s="3539"/>
      <c r="AB5" s="3539"/>
      <c r="AC5" s="3539"/>
    </row>
    <row r="6" spans="1:29" ht="15.75" thickBot="1">
      <c r="A6" s="350"/>
      <c r="B6" s="351"/>
      <c r="C6" s="3551" t="s">
        <v>1677</v>
      </c>
      <c r="D6" s="3552"/>
      <c r="E6" s="3553" t="s">
        <v>1677</v>
      </c>
      <c r="F6" s="3554"/>
      <c r="G6" s="3551" t="s">
        <v>1677</v>
      </c>
      <c r="H6" s="3552"/>
      <c r="I6" s="3551" t="s">
        <v>1677</v>
      </c>
      <c r="J6" s="3552"/>
      <c r="K6" s="537" t="s">
        <v>1678</v>
      </c>
      <c r="L6" s="2486"/>
      <c r="M6" s="2487"/>
      <c r="N6" s="2487"/>
      <c r="O6" s="2487"/>
      <c r="P6" s="3564"/>
      <c r="Q6" s="3565"/>
      <c r="R6" s="3545"/>
      <c r="S6" s="3546"/>
      <c r="T6" s="3566"/>
      <c r="U6" s="3567"/>
      <c r="V6" s="3568"/>
      <c r="W6" s="3568"/>
      <c r="X6" s="1265"/>
      <c r="Y6" s="3566"/>
      <c r="Z6" s="3567"/>
      <c r="AA6" s="3540"/>
      <c r="AB6" s="3540"/>
      <c r="AC6" s="3540"/>
    </row>
    <row r="7" spans="1:29" s="102" customFormat="1" ht="15.75" thickBot="1">
      <c r="A7" s="352" t="s">
        <v>1679</v>
      </c>
      <c r="B7" s="353"/>
      <c r="C7" s="354">
        <f>'数据-取费表'!B2</f>
        <v>45880</v>
      </c>
      <c r="D7" s="355">
        <v>100</v>
      </c>
      <c r="E7" s="356">
        <v>45870</v>
      </c>
      <c r="F7" s="357">
        <f>SUMIF(48:48,YEAR(E7)&amp;"-"&amp;MONTH(E7),49:49)</f>
        <v>100</v>
      </c>
      <c r="G7" s="356">
        <v>45870</v>
      </c>
      <c r="H7" s="355">
        <f>SUMIF(48:48,YEAR(G7)&amp;"-"&amp;MONTH(G7),49:49)</f>
        <v>100</v>
      </c>
      <c r="I7" s="356">
        <v>45870</v>
      </c>
      <c r="J7" s="355">
        <f>SUMIF(48:48,YEAR(I7)&amp;"-"&amp;MONTH(I7),49:49)</f>
        <v>100</v>
      </c>
      <c r="K7" s="38"/>
      <c r="L7" s="2488"/>
      <c r="M7" s="2439"/>
      <c r="N7" s="2439"/>
      <c r="O7" s="2439"/>
      <c r="P7" s="3541" t="s">
        <v>1680</v>
      </c>
      <c r="Q7" s="3569"/>
      <c r="R7" s="664" t="s">
        <v>14</v>
      </c>
      <c r="S7" s="665">
        <f t="shared" ref="S7:S14" si="0">F7</f>
        <v>100</v>
      </c>
      <c r="T7" s="664" t="s">
        <v>14</v>
      </c>
      <c r="U7" s="665">
        <f t="shared" ref="U7:U14" si="1">H7</f>
        <v>100</v>
      </c>
      <c r="V7" s="664" t="s">
        <v>14</v>
      </c>
      <c r="W7" s="665">
        <f t="shared" ref="W7:W14" si="2">J7</f>
        <v>100</v>
      </c>
      <c r="X7" s="666"/>
      <c r="Y7" s="3541" t="s">
        <v>1680</v>
      </c>
      <c r="Z7" s="3542"/>
      <c r="AA7" s="50">
        <f>D7/F7</f>
        <v>1</v>
      </c>
      <c r="AB7" s="50">
        <f>D7/H7</f>
        <v>1</v>
      </c>
      <c r="AC7" s="50">
        <f>D7/J7</f>
        <v>1</v>
      </c>
    </row>
    <row r="8" spans="1:29" s="102" customFormat="1" ht="15.75" thickBot="1">
      <c r="A8" s="352" t="s">
        <v>1681</v>
      </c>
      <c r="B8" s="353"/>
      <c r="C8" s="358" t="s">
        <v>3550</v>
      </c>
      <c r="D8" s="355">
        <v>100</v>
      </c>
      <c r="E8" s="358" t="s">
        <v>3551</v>
      </c>
      <c r="F8" s="357">
        <f>SUMIF(51:51,E8,52:52)-SUMIF(51:51,C8,52:52)+100</f>
        <v>102</v>
      </c>
      <c r="G8" s="358" t="s">
        <v>3551</v>
      </c>
      <c r="H8" s="355">
        <f>SUMIF(51:51,G8,52:52)-SUMIF(51:51,C8,52:52)+100</f>
        <v>102</v>
      </c>
      <c r="I8" s="358" t="s">
        <v>3551</v>
      </c>
      <c r="J8" s="355">
        <f>SUMIF(51:51,I8,52:52)-SUMIF(51:51,C8,52:52)+100</f>
        <v>102</v>
      </c>
      <c r="K8" s="38"/>
      <c r="L8" s="2488"/>
      <c r="M8" s="2439"/>
      <c r="N8" s="2439"/>
      <c r="O8" s="2439"/>
      <c r="P8" s="3541" t="s">
        <v>1683</v>
      </c>
      <c r="Q8" s="3542"/>
      <c r="R8" s="664" t="s">
        <v>14</v>
      </c>
      <c r="S8" s="665">
        <f t="shared" si="0"/>
        <v>102</v>
      </c>
      <c r="T8" s="664" t="s">
        <v>14</v>
      </c>
      <c r="U8" s="665">
        <f t="shared" si="1"/>
        <v>102</v>
      </c>
      <c r="V8" s="664" t="s">
        <v>14</v>
      </c>
      <c r="W8" s="665">
        <f t="shared" si="2"/>
        <v>102</v>
      </c>
      <c r="X8" s="666"/>
      <c r="Y8" s="3541" t="s">
        <v>1683</v>
      </c>
      <c r="Z8" s="3542"/>
      <c r="AA8" s="50">
        <f t="shared" ref="AA8:AA36" si="3">D8/F8</f>
        <v>0.98039215686274506</v>
      </c>
      <c r="AB8" s="50">
        <f t="shared" ref="AB8:AB36" si="4">D8/H8</f>
        <v>0.98039215686274506</v>
      </c>
      <c r="AC8" s="50">
        <f t="shared" ref="AC8:AC36" si="5">D8/J8</f>
        <v>0.98039215686274506</v>
      </c>
    </row>
    <row r="9" spans="1:29" s="102" customFormat="1">
      <c r="A9" s="57" t="s">
        <v>1684</v>
      </c>
      <c r="B9" s="564" t="s">
        <v>1685</v>
      </c>
      <c r="C9" s="3247"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73" t="s">
        <v>1686</v>
      </c>
      <c r="Q9" s="530" t="str">
        <f t="shared" ref="Q9:Q14" si="6">B9</f>
        <v>用途</v>
      </c>
      <c r="R9" s="664" t="s">
        <v>14</v>
      </c>
      <c r="S9" s="665">
        <f t="shared" si="0"/>
        <v>100</v>
      </c>
      <c r="T9" s="664" t="s">
        <v>14</v>
      </c>
      <c r="U9" s="665">
        <f t="shared" si="1"/>
        <v>100</v>
      </c>
      <c r="V9" s="664" t="s">
        <v>14</v>
      </c>
      <c r="W9" s="665">
        <f t="shared" si="2"/>
        <v>100</v>
      </c>
      <c r="X9" s="666"/>
      <c r="Y9" s="344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73"/>
      <c r="Q10" s="530" t="str">
        <f t="shared" si="6"/>
        <v>土地使用年限（年）</v>
      </c>
      <c r="R10" s="664" t="s">
        <v>14</v>
      </c>
      <c r="S10" s="665">
        <f t="shared" si="0"/>
        <v>100</v>
      </c>
      <c r="T10" s="664" t="s">
        <v>14</v>
      </c>
      <c r="U10" s="665">
        <f t="shared" si="1"/>
        <v>100</v>
      </c>
      <c r="V10" s="664" t="s">
        <v>14</v>
      </c>
      <c r="W10" s="665">
        <f t="shared" si="2"/>
        <v>100</v>
      </c>
      <c r="X10" s="666"/>
      <c r="Y10" s="34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73"/>
      <c r="Q11" s="530">
        <f t="shared" si="6"/>
        <v>111</v>
      </c>
      <c r="R11" s="664" t="s">
        <v>14</v>
      </c>
      <c r="S11" s="665">
        <f t="shared" si="0"/>
        <v>100</v>
      </c>
      <c r="T11" s="664" t="s">
        <v>14</v>
      </c>
      <c r="U11" s="665">
        <f t="shared" si="1"/>
        <v>100</v>
      </c>
      <c r="V11" s="664" t="s">
        <v>14</v>
      </c>
      <c r="W11" s="665">
        <f t="shared" si="2"/>
        <v>100</v>
      </c>
      <c r="X11" s="666"/>
      <c r="Y11" s="34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73"/>
      <c r="Q12" s="530">
        <f t="shared" si="6"/>
        <v>111</v>
      </c>
      <c r="R12" s="664" t="s">
        <v>14</v>
      </c>
      <c r="S12" s="665">
        <f t="shared" si="0"/>
        <v>100</v>
      </c>
      <c r="T12" s="664" t="s">
        <v>14</v>
      </c>
      <c r="U12" s="665">
        <f t="shared" si="1"/>
        <v>100</v>
      </c>
      <c r="V12" s="664" t="s">
        <v>14</v>
      </c>
      <c r="W12" s="665">
        <f t="shared" si="2"/>
        <v>100</v>
      </c>
      <c r="X12" s="666"/>
      <c r="Y12" s="34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73"/>
      <c r="Q13" s="530">
        <f t="shared" si="6"/>
        <v>111</v>
      </c>
      <c r="R13" s="664" t="s">
        <v>14</v>
      </c>
      <c r="S13" s="665">
        <f t="shared" si="0"/>
        <v>100</v>
      </c>
      <c r="T13" s="664" t="s">
        <v>14</v>
      </c>
      <c r="U13" s="665">
        <f t="shared" si="1"/>
        <v>100</v>
      </c>
      <c r="V13" s="664" t="s">
        <v>14</v>
      </c>
      <c r="W13" s="665">
        <f t="shared" si="2"/>
        <v>100</v>
      </c>
      <c r="X13" s="666"/>
      <c r="Y13" s="3444"/>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67"/>
      <c r="F14" s="382">
        <f>SUMIF(63:63,E15,64:64)-SUMIF(63:63,C15,64:64)+100</f>
        <v>110</v>
      </c>
      <c r="G14" s="3267"/>
      <c r="H14" s="380">
        <f>SUMIF(63:63,G15,64:64)-SUMIF(63:63,C15,64:64)+100</f>
        <v>110</v>
      </c>
      <c r="I14" s="3267"/>
      <c r="J14" s="380">
        <f>SUMIF(63:63,I15,64:64)-SUMIF(63:63,C15,64:64)+100</f>
        <v>110</v>
      </c>
      <c r="K14" s="540">
        <v>5</v>
      </c>
      <c r="L14" s="2492"/>
      <c r="M14" s="2487"/>
      <c r="N14" s="2487"/>
      <c r="O14" s="2487"/>
      <c r="P14" s="3574" t="s">
        <v>1691</v>
      </c>
      <c r="Q14" s="1263" t="str">
        <f t="shared" si="6"/>
        <v>交通便捷度</v>
      </c>
      <c r="R14" s="667" t="s">
        <v>14</v>
      </c>
      <c r="S14" s="668">
        <f t="shared" si="0"/>
        <v>110</v>
      </c>
      <c r="T14" s="667" t="s">
        <v>14</v>
      </c>
      <c r="U14" s="668">
        <f t="shared" si="1"/>
        <v>110</v>
      </c>
      <c r="V14" s="667" t="s">
        <v>14</v>
      </c>
      <c r="W14" s="668">
        <f t="shared" si="2"/>
        <v>110</v>
      </c>
      <c r="X14" s="1265"/>
      <c r="Y14" s="3574"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3573</v>
      </c>
      <c r="D15" s="387"/>
      <c r="E15" s="386" t="s">
        <v>3547</v>
      </c>
      <c r="F15" s="388"/>
      <c r="G15" s="386" t="s">
        <v>3547</v>
      </c>
      <c r="H15" s="389"/>
      <c r="I15" s="386" t="s">
        <v>3547</v>
      </c>
      <c r="J15" s="387"/>
      <c r="K15" s="541"/>
      <c r="L15" s="2492"/>
      <c r="M15" s="2487"/>
      <c r="N15" s="2487"/>
      <c r="O15" s="2487"/>
      <c r="P15" s="3575"/>
      <c r="Q15" s="1263"/>
      <c r="R15" s="667"/>
      <c r="S15" s="668"/>
      <c r="T15" s="667"/>
      <c r="U15" s="668"/>
      <c r="V15" s="667"/>
      <c r="W15" s="668"/>
      <c r="X15" s="1265"/>
      <c r="Y15" s="3575"/>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68"/>
      <c r="F16" s="397">
        <f>SUMIF(65:65,E17,66:66)-SUMIF(65:65,C17,66:66)+100</f>
        <v>102</v>
      </c>
      <c r="G16" s="3268"/>
      <c r="H16" s="394">
        <f>SUMIF(65:65,G17,66:66)-SUMIF(65:65,C17,66:66)+100</f>
        <v>102</v>
      </c>
      <c r="I16" s="3268"/>
      <c r="J16" s="394">
        <f>SUMIF(65:65,I17,66:66)-SUMIF(65:65,C17,66:66)+100</f>
        <v>102</v>
      </c>
      <c r="K16" s="540">
        <v>2</v>
      </c>
      <c r="L16" s="2492"/>
      <c r="M16" s="2487"/>
      <c r="N16" s="2487"/>
      <c r="O16" s="2487"/>
      <c r="P16" s="3575"/>
      <c r="Q16" s="1263" t="str">
        <f>B16</f>
        <v>公共配套设施</v>
      </c>
      <c r="R16" s="667" t="s">
        <v>14</v>
      </c>
      <c r="S16" s="668">
        <f>F16</f>
        <v>102</v>
      </c>
      <c r="T16" s="667" t="s">
        <v>14</v>
      </c>
      <c r="U16" s="668">
        <f>H16</f>
        <v>102</v>
      </c>
      <c r="V16" s="667" t="s">
        <v>14</v>
      </c>
      <c r="W16" s="668">
        <f>J16</f>
        <v>102</v>
      </c>
      <c r="X16" s="1265"/>
      <c r="Y16" s="3575"/>
      <c r="Z16" s="1264" t="str">
        <f>Q16</f>
        <v>公共配套设施</v>
      </c>
      <c r="AA16" s="1264">
        <f t="shared" si="3"/>
        <v>0.98039215686274506</v>
      </c>
      <c r="AB16" s="1264">
        <f t="shared" si="4"/>
        <v>0.98039215686274506</v>
      </c>
      <c r="AC16" s="1264">
        <f t="shared" si="5"/>
        <v>0.98039215686274506</v>
      </c>
    </row>
    <row r="17" spans="1:29" ht="15">
      <c r="A17" s="348"/>
      <c r="B17" s="401"/>
      <c r="C17" s="1755" t="s">
        <v>3573</v>
      </c>
      <c r="D17" s="387"/>
      <c r="E17" s="386" t="s">
        <v>3546</v>
      </c>
      <c r="F17" s="388"/>
      <c r="G17" s="386" t="s">
        <v>3546</v>
      </c>
      <c r="H17" s="387"/>
      <c r="I17" s="386" t="s">
        <v>3546</v>
      </c>
      <c r="J17" s="387"/>
      <c r="K17" s="541"/>
      <c r="L17" s="2492"/>
      <c r="M17" s="2487"/>
      <c r="N17" s="2487"/>
      <c r="O17" s="2487"/>
      <c r="P17" s="3575"/>
      <c r="Q17" s="1263"/>
      <c r="R17" s="667"/>
      <c r="S17" s="668"/>
      <c r="T17" s="667"/>
      <c r="U17" s="668"/>
      <c r="V17" s="667"/>
      <c r="W17" s="668"/>
      <c r="X17" s="1265"/>
      <c r="Y17" s="357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t="s">
        <v>4019</v>
      </c>
      <c r="J18" s="394">
        <f>SUMIF(67:67,I19,68:68)-SUMIF(67:67,C19,68:68)+100</f>
        <v>100</v>
      </c>
      <c r="K18" s="540"/>
      <c r="L18" s="2492"/>
      <c r="M18" s="2487"/>
      <c r="N18" s="2487"/>
      <c r="O18" s="2487"/>
      <c r="P18" s="3575"/>
      <c r="Q18" s="1263" t="str">
        <f>B18</f>
        <v>基础设施水平</v>
      </c>
      <c r="R18" s="667" t="s">
        <v>14</v>
      </c>
      <c r="S18" s="668">
        <f>F18</f>
        <v>100</v>
      </c>
      <c r="T18" s="667" t="s">
        <v>14</v>
      </c>
      <c r="U18" s="668">
        <f>H18</f>
        <v>100</v>
      </c>
      <c r="V18" s="667" t="s">
        <v>14</v>
      </c>
      <c r="W18" s="668">
        <f>J18</f>
        <v>100</v>
      </c>
      <c r="X18" s="1265"/>
      <c r="Y18" s="3575"/>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75"/>
      <c r="Q19" s="1263"/>
      <c r="R19" s="667"/>
      <c r="S19" s="668"/>
      <c r="T19" s="667"/>
      <c r="U19" s="668"/>
      <c r="V19" s="667"/>
      <c r="W19" s="668"/>
      <c r="X19" s="1265"/>
      <c r="Y19" s="3575"/>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69"/>
      <c r="F20" s="397">
        <f>SUMIF(69:69,E21,70:70)-SUMIF(69:69,C21,70:70)+100</f>
        <v>100</v>
      </c>
      <c r="G20" s="3269"/>
      <c r="H20" s="389">
        <f>SUMIF(69:69,G21,70:70)-SUMIF(69:69,C21,70:70)+100</f>
        <v>100</v>
      </c>
      <c r="I20" s="3269"/>
      <c r="J20" s="389">
        <f>SUMIF(69:69,I21,70:70)-SUMIF(69:69,C21,70:70)+100</f>
        <v>100</v>
      </c>
      <c r="K20" s="540">
        <v>1</v>
      </c>
      <c r="L20" s="2492"/>
      <c r="M20" s="2487"/>
      <c r="N20" s="2487"/>
      <c r="O20" s="2487"/>
      <c r="P20" s="3575"/>
      <c r="Q20" s="1263" t="str">
        <f>B20</f>
        <v>自然及人文环境</v>
      </c>
      <c r="R20" s="667" t="s">
        <v>14</v>
      </c>
      <c r="S20" s="668">
        <f>F20</f>
        <v>100</v>
      </c>
      <c r="T20" s="667" t="s">
        <v>14</v>
      </c>
      <c r="U20" s="668">
        <f>H20</f>
        <v>100</v>
      </c>
      <c r="V20" s="667" t="s">
        <v>14</v>
      </c>
      <c r="W20" s="668">
        <f>J20</f>
        <v>100</v>
      </c>
      <c r="X20" s="1265"/>
      <c r="Y20" s="3575"/>
      <c r="Z20" s="1264" t="str">
        <f>Q20</f>
        <v>自然及人文环境</v>
      </c>
      <c r="AA20" s="1264">
        <f t="shared" si="3"/>
        <v>1</v>
      </c>
      <c r="AB20" s="1264">
        <f t="shared" si="4"/>
        <v>1</v>
      </c>
      <c r="AC20" s="1264">
        <f t="shared" si="5"/>
        <v>1</v>
      </c>
    </row>
    <row r="21" spans="1:29" ht="15">
      <c r="A21" s="348"/>
      <c r="B21" s="401"/>
      <c r="C21" s="386" t="s">
        <v>3546</v>
      </c>
      <c r="D21" s="387"/>
      <c r="E21" s="386" t="s">
        <v>3546</v>
      </c>
      <c r="F21" s="388"/>
      <c r="G21" s="386" t="s">
        <v>3546</v>
      </c>
      <c r="H21" s="387"/>
      <c r="I21" s="386" t="s">
        <v>3546</v>
      </c>
      <c r="J21" s="387"/>
      <c r="K21" s="541"/>
      <c r="L21" s="2492"/>
      <c r="M21" s="2487"/>
      <c r="N21" s="2487"/>
      <c r="O21" s="2487"/>
      <c r="P21" s="3575"/>
      <c r="Q21" s="1263"/>
      <c r="R21" s="667"/>
      <c r="S21" s="668"/>
      <c r="T21" s="667"/>
      <c r="U21" s="668"/>
      <c r="V21" s="667"/>
      <c r="W21" s="668"/>
      <c r="X21" s="1265"/>
      <c r="Y21" s="357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75"/>
      <c r="Q22" s="1263" t="str">
        <f>B22</f>
        <v>楼层</v>
      </c>
      <c r="R22" s="667" t="s">
        <v>14</v>
      </c>
      <c r="S22" s="668">
        <f>F22</f>
        <v>100</v>
      </c>
      <c r="T22" s="667" t="s">
        <v>14</v>
      </c>
      <c r="U22" s="668">
        <f>H22</f>
        <v>100</v>
      </c>
      <c r="V22" s="667" t="s">
        <v>14</v>
      </c>
      <c r="W22" s="668">
        <f>J22</f>
        <v>100</v>
      </c>
      <c r="X22" s="1265"/>
      <c r="Y22" s="3575"/>
      <c r="Z22" s="1264" t="str">
        <f>Q22</f>
        <v>楼层</v>
      </c>
      <c r="AA22" s="1264">
        <f t="shared" si="3"/>
        <v>1</v>
      </c>
      <c r="AB22" s="1264">
        <f t="shared" si="4"/>
        <v>1</v>
      </c>
      <c r="AC22" s="1264">
        <f t="shared" si="5"/>
        <v>1</v>
      </c>
    </row>
    <row r="23" spans="1:29" ht="15">
      <c r="A23" s="348"/>
      <c r="B23" s="3271" t="s">
        <v>3973</v>
      </c>
      <c r="C23" s="3272" t="s">
        <v>3974</v>
      </c>
      <c r="D23" s="374">
        <v>100</v>
      </c>
      <c r="E23" s="3273" t="s">
        <v>3975</v>
      </c>
      <c r="F23" s="400">
        <f>SUMIF(73:73,E23,74:74)-SUMIF(73:73,C23,74:74)+100</f>
        <v>105</v>
      </c>
      <c r="G23" s="3273" t="s">
        <v>3975</v>
      </c>
      <c r="H23" s="374">
        <f>SUMIF(73:73,G23,74:74)-SUMIF(73:73,C23,74:74)+100</f>
        <v>105</v>
      </c>
      <c r="I23" s="3273" t="s">
        <v>3975</v>
      </c>
      <c r="J23" s="374">
        <f>SUMIF(73:73,I23,74:74)-SUMIF(73:73,C23,74:74)+100</f>
        <v>105</v>
      </c>
      <c r="K23" s="539"/>
      <c r="L23" s="2492"/>
      <c r="M23" s="2487"/>
      <c r="N23" s="2487"/>
      <c r="O23" s="2487"/>
      <c r="P23" s="3575"/>
      <c r="Q23" s="1263" t="str">
        <f>B23</f>
        <v>周边停车位</v>
      </c>
      <c r="R23" s="667" t="s">
        <v>14</v>
      </c>
      <c r="S23" s="668">
        <f>F23</f>
        <v>105</v>
      </c>
      <c r="T23" s="667" t="s">
        <v>14</v>
      </c>
      <c r="U23" s="668">
        <f>H23</f>
        <v>105</v>
      </c>
      <c r="V23" s="667" t="s">
        <v>14</v>
      </c>
      <c r="W23" s="668">
        <f>J23</f>
        <v>105</v>
      </c>
      <c r="X23" s="1265"/>
      <c r="Y23" s="3575"/>
      <c r="Z23" s="1264" t="str">
        <f>Q23</f>
        <v>周边停车位</v>
      </c>
      <c r="AA23" s="1264">
        <f t="shared" si="3"/>
        <v>0.95238095238095233</v>
      </c>
      <c r="AB23" s="1264">
        <f t="shared" si="4"/>
        <v>0.95238095238095233</v>
      </c>
      <c r="AC23" s="1264">
        <f t="shared" si="5"/>
        <v>0.95238095238095233</v>
      </c>
    </row>
    <row r="24" spans="1:29" ht="15">
      <c r="A24" s="348"/>
      <c r="B24" s="3271" t="s">
        <v>3983</v>
      </c>
      <c r="C24" s="3272" t="s">
        <v>4017</v>
      </c>
      <c r="D24" s="374">
        <v>100</v>
      </c>
      <c r="E24" s="3272" t="s">
        <v>3977</v>
      </c>
      <c r="F24" s="400">
        <f>SUMIF(75:75,E24,76:76)-SUMIF(75:75,C24,76:76)+100</f>
        <v>104</v>
      </c>
      <c r="G24" s="3272" t="s">
        <v>3977</v>
      </c>
      <c r="H24" s="374">
        <f>SUMIF(75:75,G24,76:76)-SUMIF(75:75,C24,76:76)+100</f>
        <v>104</v>
      </c>
      <c r="I24" s="3272" t="s">
        <v>3977</v>
      </c>
      <c r="J24" s="374">
        <f>SUMIF(75:75,I24,76:76)-SUMIF(75:75,C24,76:76)+100</f>
        <v>104</v>
      </c>
      <c r="K24" s="539"/>
      <c r="L24" s="2492"/>
      <c r="M24" s="2487"/>
      <c r="N24" s="2487"/>
      <c r="O24" s="2487"/>
      <c r="P24" s="3575"/>
      <c r="Q24" s="1263" t="str">
        <f t="shared" ref="Q24:Q36" si="11">B24</f>
        <v>居住人群需求</v>
      </c>
      <c r="R24" s="667" t="s">
        <v>14</v>
      </c>
      <c r="S24" s="668">
        <f>F24</f>
        <v>104</v>
      </c>
      <c r="T24" s="667" t="s">
        <v>14</v>
      </c>
      <c r="U24" s="668">
        <f>H24</f>
        <v>104</v>
      </c>
      <c r="V24" s="667" t="s">
        <v>14</v>
      </c>
      <c r="W24" s="668">
        <f>J24</f>
        <v>104</v>
      </c>
      <c r="X24" s="1265"/>
      <c r="Y24" s="3575"/>
      <c r="Z24" s="1264" t="str">
        <f>Q24</f>
        <v>居住人群需求</v>
      </c>
      <c r="AA24" s="1264">
        <f t="shared" si="3"/>
        <v>0.96153846153846156</v>
      </c>
      <c r="AB24" s="1264">
        <f t="shared" si="4"/>
        <v>0.96153846153846156</v>
      </c>
      <c r="AC24" s="1264">
        <f t="shared" si="5"/>
        <v>0.96153846153846156</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75"/>
      <c r="Q25" s="530">
        <f t="shared" si="11"/>
        <v>111</v>
      </c>
      <c r="R25" s="664" t="s">
        <v>14</v>
      </c>
      <c r="S25" s="665">
        <f>F25</f>
        <v>100</v>
      </c>
      <c r="T25" s="664" t="s">
        <v>14</v>
      </c>
      <c r="U25" s="665">
        <f>H25</f>
        <v>100</v>
      </c>
      <c r="V25" s="664" t="s">
        <v>14</v>
      </c>
      <c r="W25" s="665">
        <f>J25</f>
        <v>100</v>
      </c>
      <c r="X25" s="666"/>
      <c r="Y25" s="3575"/>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v>790</v>
      </c>
      <c r="N26" s="2487"/>
      <c r="O26" s="2487"/>
      <c r="P26" s="3618"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79" t="s">
        <v>1696</v>
      </c>
      <c r="Z26" s="1264" t="str">
        <f t="shared" ref="Z26:Z36" si="15">Q26</f>
        <v>配套类型</v>
      </c>
      <c r="AA26" s="1264">
        <f t="shared" si="3"/>
        <v>1</v>
      </c>
      <c r="AB26" s="1264">
        <f t="shared" si="4"/>
        <v>1</v>
      </c>
      <c r="AC26" s="1264">
        <f t="shared" si="5"/>
        <v>1</v>
      </c>
    </row>
    <row r="27" spans="1:29" s="408" customFormat="1" ht="15">
      <c r="A27" s="575"/>
      <c r="B27" s="119" t="s">
        <v>1837</v>
      </c>
      <c r="C27" s="576" t="s">
        <v>4012</v>
      </c>
      <c r="D27" s="119">
        <v>100</v>
      </c>
      <c r="E27" s="576" t="str">
        <f>案例!U21</f>
        <v>1:1</v>
      </c>
      <c r="F27" s="400">
        <f>SUMIF(81:81,E27,82:82)-SUMIF(81:81,C27,82:82)+100</f>
        <v>99</v>
      </c>
      <c r="G27" s="576" t="str">
        <f>案例!U23</f>
        <v>1:1.2</v>
      </c>
      <c r="H27" s="374">
        <f>SUMIF(81:81,G27,82:82)-SUMIF(81:81,C27,82:82)+100</f>
        <v>98</v>
      </c>
      <c r="I27" s="576" t="str">
        <f>案例!U25</f>
        <v>1:1.02</v>
      </c>
      <c r="J27" s="374">
        <f>SUMIF(81:81,I27,82:82)-SUMIF(81:81,C27,82:82)+100</f>
        <v>99</v>
      </c>
      <c r="K27" s="539"/>
      <c r="L27" s="2491"/>
      <c r="M27" s="2493">
        <v>660</v>
      </c>
      <c r="N27" s="2493"/>
      <c r="O27" s="2493"/>
      <c r="P27" s="3579"/>
      <c r="Q27" s="531" t="str">
        <f t="shared" si="11"/>
        <v>项目停车位配比</v>
      </c>
      <c r="R27" s="669" t="s">
        <v>14</v>
      </c>
      <c r="S27" s="670">
        <f t="shared" si="12"/>
        <v>99</v>
      </c>
      <c r="T27" s="669" t="s">
        <v>14</v>
      </c>
      <c r="U27" s="670">
        <f t="shared" si="13"/>
        <v>98</v>
      </c>
      <c r="V27" s="669" t="s">
        <v>14</v>
      </c>
      <c r="W27" s="670">
        <f t="shared" si="14"/>
        <v>99</v>
      </c>
      <c r="X27" s="671"/>
      <c r="Y27" s="3579"/>
      <c r="Z27" s="672" t="str">
        <f t="shared" si="15"/>
        <v>项目停车位配比</v>
      </c>
      <c r="AA27" s="1264">
        <f t="shared" si="3"/>
        <v>1.0101010101010102</v>
      </c>
      <c r="AB27" s="1264">
        <f t="shared" si="4"/>
        <v>1.0204081632653061</v>
      </c>
      <c r="AC27" s="1264">
        <f t="shared" si="5"/>
        <v>1.0101010101010102</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f>(M26-M27)/M26</f>
        <v>0.16455696202531644</v>
      </c>
      <c r="N28" s="2487"/>
      <c r="O28" s="2487"/>
      <c r="P28" s="3579"/>
      <c r="Q28" s="1263" t="str">
        <f t="shared" si="11"/>
        <v>公共部分装修</v>
      </c>
      <c r="R28" s="667" t="s">
        <v>14</v>
      </c>
      <c r="S28" s="668">
        <f t="shared" si="12"/>
        <v>100</v>
      </c>
      <c r="T28" s="667" t="s">
        <v>14</v>
      </c>
      <c r="U28" s="668">
        <f t="shared" si="13"/>
        <v>100</v>
      </c>
      <c r="V28" s="667" t="s">
        <v>14</v>
      </c>
      <c r="W28" s="668">
        <f t="shared" si="14"/>
        <v>100</v>
      </c>
      <c r="X28" s="1265"/>
      <c r="Y28" s="3579"/>
      <c r="Z28" s="1264" t="str">
        <f t="shared" si="15"/>
        <v>公共部分装修</v>
      </c>
      <c r="AA28" s="1264">
        <f t="shared" si="3"/>
        <v>1</v>
      </c>
      <c r="AB28" s="1264">
        <f t="shared" si="4"/>
        <v>1</v>
      </c>
      <c r="AC28" s="1264">
        <f t="shared" si="5"/>
        <v>1</v>
      </c>
    </row>
    <row r="29" spans="1:29" ht="15" hidden="1">
      <c r="A29" s="577"/>
      <c r="B29" s="119" t="s">
        <v>1839</v>
      </c>
      <c r="C29" s="411">
        <v>1</v>
      </c>
      <c r="D29" s="374">
        <v>100</v>
      </c>
      <c r="E29" s="411">
        <v>0.7</v>
      </c>
      <c r="F29" s="400">
        <f>LOOKUP(E29,86:86,87:87)-LOOKUP(C29,86:86,87:87)+100</f>
        <v>100</v>
      </c>
      <c r="G29" s="411">
        <v>0.7</v>
      </c>
      <c r="H29" s="400">
        <f>LOOKUP(G29,86:86,87:87)-LOOKUP(C29,86:86,87:87)+100</f>
        <v>100</v>
      </c>
      <c r="I29" s="411">
        <v>0.8</v>
      </c>
      <c r="J29" s="374">
        <f>LOOKUP(I29,86:86,87:87)-LOOKUP(C29,86:86,87:87)+100</f>
        <v>100</v>
      </c>
      <c r="K29" s="538">
        <v>0</v>
      </c>
      <c r="L29" s="2492"/>
      <c r="M29" s="2487"/>
      <c r="N29" s="2487"/>
      <c r="O29" s="2487"/>
      <c r="P29" s="3579"/>
      <c r="Q29" s="1263" t="str">
        <f t="shared" si="11"/>
        <v>成新率</v>
      </c>
      <c r="R29" s="667" t="s">
        <v>14</v>
      </c>
      <c r="S29" s="668">
        <f t="shared" si="12"/>
        <v>100</v>
      </c>
      <c r="T29" s="667" t="s">
        <v>14</v>
      </c>
      <c r="U29" s="668">
        <f t="shared" si="13"/>
        <v>100</v>
      </c>
      <c r="V29" s="667" t="s">
        <v>14</v>
      </c>
      <c r="W29" s="668">
        <f t="shared" si="14"/>
        <v>100</v>
      </c>
      <c r="X29" s="1265"/>
      <c r="Y29" s="3579"/>
      <c r="Z29" s="1264" t="str">
        <f t="shared" si="15"/>
        <v>成新率</v>
      </c>
      <c r="AA29" s="1264">
        <f t="shared" si="3"/>
        <v>1</v>
      </c>
      <c r="AB29" s="1264">
        <f t="shared" si="4"/>
        <v>1</v>
      </c>
      <c r="AC29" s="1264">
        <f t="shared" si="5"/>
        <v>1</v>
      </c>
    </row>
    <row r="30" spans="1:29" ht="15">
      <c r="A30" s="577"/>
      <c r="B30" s="119" t="s">
        <v>1840</v>
      </c>
      <c r="C30" s="578" t="s">
        <v>3547</v>
      </c>
      <c r="D30" s="374">
        <v>100</v>
      </c>
      <c r="E30" s="578" t="s">
        <v>3547</v>
      </c>
      <c r="F30" s="400">
        <f>SUMIF(88:88,E30,89:89)-SUMIF(88:88,C30,89:89)+100</f>
        <v>100</v>
      </c>
      <c r="G30" s="578" t="s">
        <v>3547</v>
      </c>
      <c r="H30" s="374">
        <f>SUMIF(88:88,E30,89:89)-SUMIF(88:88,C30,89:89)+100</f>
        <v>100</v>
      </c>
      <c r="I30" s="578" t="s">
        <v>3546</v>
      </c>
      <c r="J30" s="374">
        <f>SUMIF(88:88,E30,89:89)-SUMIF(88:88,C30,89:89)+100</f>
        <v>100</v>
      </c>
      <c r="K30" s="538">
        <v>1</v>
      </c>
      <c r="L30" s="2492"/>
      <c r="M30" s="2487"/>
      <c r="N30" s="2487"/>
      <c r="O30" s="2487"/>
      <c r="P30" s="3579"/>
      <c r="Q30" s="1263" t="str">
        <f t="shared" si="11"/>
        <v>物业等级</v>
      </c>
      <c r="R30" s="667" t="s">
        <v>14</v>
      </c>
      <c r="S30" s="668">
        <f t="shared" si="12"/>
        <v>100</v>
      </c>
      <c r="T30" s="667" t="s">
        <v>14</v>
      </c>
      <c r="U30" s="668">
        <f t="shared" si="13"/>
        <v>100</v>
      </c>
      <c r="V30" s="667" t="s">
        <v>14</v>
      </c>
      <c r="W30" s="668">
        <f t="shared" si="14"/>
        <v>100</v>
      </c>
      <c r="X30" s="1265"/>
      <c r="Y30" s="3579"/>
      <c r="Z30" s="1264" t="str">
        <f t="shared" si="15"/>
        <v>物业等级</v>
      </c>
      <c r="AA30" s="1264">
        <f t="shared" si="3"/>
        <v>1</v>
      </c>
      <c r="AB30" s="1264">
        <f t="shared" si="4"/>
        <v>1</v>
      </c>
      <c r="AC30" s="1264">
        <f t="shared" si="5"/>
        <v>1</v>
      </c>
    </row>
    <row r="31" spans="1:29" s="102" customFormat="1" ht="15" hidden="1">
      <c r="A31" s="579"/>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579"/>
      <c r="Q31" s="530" t="str">
        <f t="shared" si="11"/>
        <v>停车位面积</v>
      </c>
      <c r="R31" s="664" t="s">
        <v>14</v>
      </c>
      <c r="S31" s="665">
        <f t="shared" si="12"/>
        <v>100</v>
      </c>
      <c r="T31" s="664" t="s">
        <v>14</v>
      </c>
      <c r="U31" s="665">
        <f t="shared" si="13"/>
        <v>100</v>
      </c>
      <c r="V31" s="664" t="s">
        <v>14</v>
      </c>
      <c r="W31" s="665">
        <f t="shared" si="14"/>
        <v>100</v>
      </c>
      <c r="X31" s="666"/>
      <c r="Y31" s="3579"/>
      <c r="Z31" s="50" t="str">
        <f t="shared" si="15"/>
        <v>停车位面积</v>
      </c>
      <c r="AA31" s="50">
        <f t="shared" si="3"/>
        <v>1</v>
      </c>
      <c r="AB31" s="50">
        <f t="shared" si="4"/>
        <v>1</v>
      </c>
      <c r="AC31" s="50">
        <f t="shared" si="5"/>
        <v>1</v>
      </c>
    </row>
    <row r="32" spans="1:29" ht="15">
      <c r="A32" s="577"/>
      <c r="B32" s="119" t="s">
        <v>1842</v>
      </c>
      <c r="C32" s="399" t="s">
        <v>3742</v>
      </c>
      <c r="D32" s="374">
        <v>100</v>
      </c>
      <c r="E32" s="399" t="s">
        <v>3742</v>
      </c>
      <c r="F32" s="400">
        <f>SUMIF(93:93,E32,94:94)-SUMIF(93:93,C32,94:94)+100</f>
        <v>100</v>
      </c>
      <c r="G32" s="399" t="s">
        <v>3742</v>
      </c>
      <c r="H32" s="374">
        <f>SUMIF(93:93,G32,94:94)-SUMIF(93:93,C32,94:94)+100</f>
        <v>100</v>
      </c>
      <c r="I32" s="399" t="s">
        <v>3742</v>
      </c>
      <c r="J32" s="374">
        <f>SUMIF(93:93,I32,94:94)-SUMIF(93:93,C32,94:94)+100</f>
        <v>100</v>
      </c>
      <c r="K32" s="538"/>
      <c r="L32" s="2492"/>
      <c r="M32" s="2487"/>
      <c r="N32" s="2487"/>
      <c r="O32" s="2487"/>
      <c r="P32" s="3579" t="s">
        <v>1696</v>
      </c>
      <c r="Q32" s="1263" t="str">
        <f t="shared" si="11"/>
        <v>车位类型</v>
      </c>
      <c r="R32" s="667" t="s">
        <v>14</v>
      </c>
      <c r="S32" s="668">
        <f t="shared" si="12"/>
        <v>100</v>
      </c>
      <c r="T32" s="667" t="s">
        <v>14</v>
      </c>
      <c r="U32" s="668">
        <f t="shared" si="13"/>
        <v>100</v>
      </c>
      <c r="V32" s="667" t="s">
        <v>14</v>
      </c>
      <c r="W32" s="668">
        <f t="shared" si="14"/>
        <v>100</v>
      </c>
      <c r="X32" s="1265"/>
      <c r="Y32" s="3579" t="s">
        <v>1696</v>
      </c>
      <c r="Z32" s="1264" t="str">
        <f t="shared" si="15"/>
        <v>车位类型</v>
      </c>
      <c r="AA32" s="1264">
        <f t="shared" si="3"/>
        <v>1</v>
      </c>
      <c r="AB32" s="1264">
        <f t="shared" si="4"/>
        <v>1</v>
      </c>
      <c r="AC32" s="1264">
        <f t="shared" si="5"/>
        <v>1</v>
      </c>
    </row>
    <row r="33" spans="1:29" ht="15">
      <c r="A33" s="577"/>
      <c r="B33" s="119" t="s">
        <v>1843</v>
      </c>
      <c r="C33" s="399" t="s">
        <v>3744</v>
      </c>
      <c r="D33" s="374">
        <v>100</v>
      </c>
      <c r="E33" s="399" t="s">
        <v>3744</v>
      </c>
      <c r="F33" s="400">
        <f>SUMIF(95:95,E33,96:96)-SUMIF(95:95,C33,96:96)+100</f>
        <v>100</v>
      </c>
      <c r="G33" s="399" t="s">
        <v>3744</v>
      </c>
      <c r="H33" s="374">
        <f>SUMIF(95:95,G33,96:96)-SUMIF(95:95,C33,96:96)+100</f>
        <v>100</v>
      </c>
      <c r="I33" s="399" t="s">
        <v>3744</v>
      </c>
      <c r="J33" s="374">
        <f>SUMIF(95:95,I33,96:96)-SUMIF(95:95,C33,96:96)+100</f>
        <v>100</v>
      </c>
      <c r="K33" s="538"/>
      <c r="L33" s="2492"/>
      <c r="M33" s="2487"/>
      <c r="N33" s="2487"/>
      <c r="O33" s="2487"/>
      <c r="P33" s="3579"/>
      <c r="Q33" s="1263" t="str">
        <f t="shared" si="11"/>
        <v>是否直接入户</v>
      </c>
      <c r="R33" s="667" t="s">
        <v>14</v>
      </c>
      <c r="S33" s="668">
        <f t="shared" si="12"/>
        <v>100</v>
      </c>
      <c r="T33" s="667" t="s">
        <v>14</v>
      </c>
      <c r="U33" s="668">
        <f t="shared" si="13"/>
        <v>100</v>
      </c>
      <c r="V33" s="667" t="s">
        <v>14</v>
      </c>
      <c r="W33" s="668">
        <f t="shared" si="14"/>
        <v>100</v>
      </c>
      <c r="X33" s="1265"/>
      <c r="Y33" s="3579"/>
      <c r="Z33" s="1264" t="str">
        <f t="shared" si="15"/>
        <v>是否直接入户</v>
      </c>
      <c r="AA33" s="1264">
        <f t="shared" si="3"/>
        <v>1</v>
      </c>
      <c r="AB33" s="1264">
        <f t="shared" si="4"/>
        <v>1</v>
      </c>
      <c r="AC33" s="1264">
        <f t="shared" si="5"/>
        <v>1</v>
      </c>
    </row>
    <row r="34" spans="1:29" ht="15">
      <c r="A34" s="577"/>
      <c r="B34" s="3271" t="s">
        <v>4015</v>
      </c>
      <c r="C34" s="3272" t="s">
        <v>4016</v>
      </c>
      <c r="D34" s="374">
        <v>100</v>
      </c>
      <c r="E34" s="3272" t="s">
        <v>4017</v>
      </c>
      <c r="F34" s="400">
        <f>SUMIF(97:97,E34,98:98)-SUMIF(97:97,C34,98:98)+100</f>
        <v>105</v>
      </c>
      <c r="G34" s="3272" t="s">
        <v>4017</v>
      </c>
      <c r="H34" s="374">
        <f>SUMIF(97:97,G34,98:98)-SUMIF(97:97,C34,98:98)+100</f>
        <v>105</v>
      </c>
      <c r="I34" s="3272" t="s">
        <v>4017</v>
      </c>
      <c r="J34" s="374">
        <f>SUMIF(97:97,I34,98:98)-SUMIF(97:97,C34,98:98)+100</f>
        <v>105</v>
      </c>
      <c r="K34" s="539"/>
      <c r="L34" s="2492"/>
      <c r="M34" s="2487"/>
      <c r="N34" s="2487"/>
      <c r="O34" s="2487"/>
      <c r="P34" s="3579"/>
      <c r="Q34" s="1263" t="str">
        <f t="shared" si="11"/>
        <v>距离楼栋位置</v>
      </c>
      <c r="R34" s="667" t="s">
        <v>14</v>
      </c>
      <c r="S34" s="668">
        <f t="shared" si="12"/>
        <v>105</v>
      </c>
      <c r="T34" s="667" t="s">
        <v>14</v>
      </c>
      <c r="U34" s="668">
        <f t="shared" si="13"/>
        <v>105</v>
      </c>
      <c r="V34" s="667" t="s">
        <v>14</v>
      </c>
      <c r="W34" s="668">
        <f t="shared" si="14"/>
        <v>105</v>
      </c>
      <c r="X34" s="1265"/>
      <c r="Y34" s="3579"/>
      <c r="Z34" s="1264" t="str">
        <f t="shared" si="15"/>
        <v>距离楼栋位置</v>
      </c>
      <c r="AA34" s="1264">
        <f t="shared" si="3"/>
        <v>0.95238095238095233</v>
      </c>
      <c r="AB34" s="1264">
        <f t="shared" si="4"/>
        <v>0.95238095238095233</v>
      </c>
      <c r="AC34" s="1264">
        <f t="shared" si="5"/>
        <v>0.95238095238095233</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79"/>
      <c r="Q35" s="531">
        <f t="shared" si="11"/>
        <v>111</v>
      </c>
      <c r="R35" s="669" t="s">
        <v>14</v>
      </c>
      <c r="S35" s="670">
        <f t="shared" si="12"/>
        <v>100</v>
      </c>
      <c r="T35" s="669" t="s">
        <v>14</v>
      </c>
      <c r="U35" s="670">
        <f t="shared" si="13"/>
        <v>100</v>
      </c>
      <c r="V35" s="669" t="s">
        <v>14</v>
      </c>
      <c r="W35" s="670">
        <f t="shared" si="14"/>
        <v>100</v>
      </c>
      <c r="X35" s="671"/>
      <c r="Y35" s="357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79"/>
      <c r="Q36" s="1263">
        <f t="shared" si="11"/>
        <v>111</v>
      </c>
      <c r="R36" s="667" t="s">
        <v>14</v>
      </c>
      <c r="S36" s="668">
        <f t="shared" si="12"/>
        <v>100</v>
      </c>
      <c r="T36" s="667" t="s">
        <v>14</v>
      </c>
      <c r="U36" s="668">
        <f t="shared" si="13"/>
        <v>100</v>
      </c>
      <c r="V36" s="667" t="s">
        <v>14</v>
      </c>
      <c r="W36" s="668">
        <f t="shared" si="14"/>
        <v>100</v>
      </c>
      <c r="X36" s="1265"/>
      <c r="Y36" s="3579"/>
      <c r="Z36" s="1264">
        <f t="shared" si="15"/>
        <v>111</v>
      </c>
      <c r="AA36" s="1264">
        <f t="shared" si="3"/>
        <v>1</v>
      </c>
      <c r="AB36" s="1264">
        <f t="shared" si="4"/>
        <v>1</v>
      </c>
      <c r="AC36" s="1264">
        <f t="shared" si="5"/>
        <v>1</v>
      </c>
    </row>
    <row r="37" spans="1:29" ht="15">
      <c r="A37" s="416" t="s">
        <v>1844</v>
      </c>
      <c r="B37" s="1821" t="s">
        <v>3350</v>
      </c>
      <c r="C37" s="1081" t="s">
        <v>0</v>
      </c>
      <c r="D37" s="418"/>
      <c r="E37" s="419">
        <f>案例!Y21</f>
        <v>600</v>
      </c>
      <c r="F37" s="420"/>
      <c r="G37" s="421">
        <f>案例!Y23</f>
        <v>550</v>
      </c>
      <c r="H37" s="422"/>
      <c r="I37" s="419">
        <f>案例!Y25</f>
        <v>650</v>
      </c>
      <c r="J37" s="422"/>
      <c r="K37" s="545"/>
      <c r="L37" s="2494"/>
      <c r="M37" s="2487"/>
      <c r="N37" s="2487"/>
      <c r="O37" s="2487"/>
      <c r="P37" s="3573" t="str">
        <f>A37</f>
        <v>成交单价</v>
      </c>
      <c r="Q37" s="3573"/>
      <c r="R37" s="3568">
        <f>E37</f>
        <v>600</v>
      </c>
      <c r="S37" s="3568"/>
      <c r="T37" s="3568">
        <f>G37</f>
        <v>550</v>
      </c>
      <c r="U37" s="3568"/>
      <c r="V37" s="3568">
        <f>I37</f>
        <v>650</v>
      </c>
      <c r="W37" s="3568"/>
      <c r="X37" s="385"/>
      <c r="Y37" s="673"/>
      <c r="Z37" s="385"/>
      <c r="AA37" s="385"/>
      <c r="AB37" s="385"/>
      <c r="AC37" s="385"/>
    </row>
    <row r="38" spans="1:29" ht="15.75" thickBot="1">
      <c r="A38" s="423" t="s">
        <v>1845</v>
      </c>
      <c r="B38" s="424" t="str">
        <f>B37</f>
        <v>元/平方米</v>
      </c>
      <c r="C38" s="1082">
        <f>R39</f>
        <v>463</v>
      </c>
      <c r="D38" s="2141" t="s">
        <v>2138</v>
      </c>
      <c r="E38" s="1083">
        <f>R38</f>
        <v>462</v>
      </c>
      <c r="F38" s="2142"/>
      <c r="G38" s="1082">
        <f>T38</f>
        <v>428</v>
      </c>
      <c r="H38" s="2142"/>
      <c r="I38" s="1083">
        <f>V38</f>
        <v>500</v>
      </c>
      <c r="J38" s="2142"/>
      <c r="K38" s="2144">
        <f>F38+H38+J38</f>
        <v>0</v>
      </c>
      <c r="L38" s="2494"/>
      <c r="M38" s="2487"/>
      <c r="N38" s="2487"/>
      <c r="O38" s="2487"/>
      <c r="P38" s="3573" t="str">
        <f>A38</f>
        <v>比较价值（元/平方米）</v>
      </c>
      <c r="Q38" s="3573"/>
      <c r="R38" s="3568">
        <f>IF(F1="售价",ROUND(PRODUCT(R37,AA7:AA36),0),ROUND(PRODUCT(R37,AA7:AA36),1))</f>
        <v>462</v>
      </c>
      <c r="S38" s="3568"/>
      <c r="T38" s="3568">
        <f>IF(F1="售价",ROUND(PRODUCT(T37,AB7:AB36),0),ROUND(PRODUCT(T37,AB7:AB36),1))</f>
        <v>428</v>
      </c>
      <c r="U38" s="3568"/>
      <c r="V38" s="3568">
        <f>IF(F1="售价",ROUND(PRODUCT(V37,AC7:AC36),0),ROUND(PRODUCT(V37,AC7:AC36),1))</f>
        <v>500</v>
      </c>
      <c r="W38" s="3568"/>
      <c r="X38" s="385"/>
      <c r="Y38" s="385"/>
      <c r="Z38" s="385"/>
      <c r="AA38" s="385"/>
      <c r="AB38" s="385"/>
      <c r="AC38" s="385"/>
    </row>
    <row r="39" spans="1:29" ht="15.75" thickBot="1">
      <c r="A39" s="427" t="s">
        <v>1846</v>
      </c>
      <c r="B39" s="428"/>
      <c r="C39" s="351">
        <f>R39</f>
        <v>463</v>
      </c>
      <c r="D39" s="351"/>
      <c r="E39" s="351"/>
      <c r="F39" s="351"/>
      <c r="G39" s="351"/>
      <c r="H39" s="351"/>
      <c r="I39" s="351"/>
      <c r="J39" s="351"/>
      <c r="K39" s="546"/>
      <c r="L39" s="2494"/>
      <c r="M39" s="2487"/>
      <c r="N39" s="2487"/>
      <c r="O39" s="2487"/>
      <c r="P39" s="3570" t="str">
        <f>A39</f>
        <v>估价对象XX用房的比较价值（楼面单价，元/平方米）</v>
      </c>
      <c r="Q39" s="3571"/>
      <c r="R39" s="3619">
        <f>IF(F1="售价",ROUND(IF(D38="简单平均",AVERAGE(R38:W38),R38*F38+T38*H38+V38*J38),0),ROUND(IF(D38="简单平均",AVERAGE(R38:V38),R38*F38+T38*H38+V38*J38),1))</f>
        <v>463</v>
      </c>
      <c r="S39" s="3619"/>
      <c r="T39" s="3619"/>
      <c r="U39" s="3619"/>
      <c r="V39" s="3619"/>
      <c r="W39" s="3619"/>
      <c r="X39" s="385"/>
      <c r="Y39" s="385"/>
      <c r="Z39" s="385"/>
      <c r="AA39" s="385"/>
      <c r="AB39" s="385"/>
      <c r="AC39" s="385"/>
    </row>
    <row r="40" spans="1:29">
      <c r="A40" s="2487"/>
      <c r="B40" s="2487">
        <v>200</v>
      </c>
      <c r="C40" s="3248">
        <f>C39+B40</f>
        <v>663</v>
      </c>
      <c r="D40" s="2487"/>
      <c r="E40" s="2487">
        <v>2001</v>
      </c>
      <c r="F40" s="2487"/>
      <c r="G40" s="2498">
        <v>20.04</v>
      </c>
      <c r="H40" s="2487"/>
      <c r="I40" s="2487">
        <v>2012</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0.29870129870129869</v>
      </c>
      <c r="F42" s="435" t="str">
        <f>IF(OR(E42&gt;=0.3,E42&lt;=-0.3),"超过30%","")</f>
        <v/>
      </c>
      <c r="G42" s="434">
        <f>IF(G37&lt;G38,G38/G37-1,G37/G38-1)</f>
        <v>0.2850467289719627</v>
      </c>
      <c r="H42" s="435" t="str">
        <f>IF(OR(G42&gt;=0.3,G42&lt;=-0.3),"超过30%","")</f>
        <v/>
      </c>
      <c r="I42" s="434">
        <f>IF(I37&lt;I38,I38/I37-1,I37/I38-1)</f>
        <v>0.30000000000000004</v>
      </c>
      <c r="J42" s="435" t="str">
        <f>IF(OR(I42&gt;=0.3,I42&lt;=-0.3),"超过30%","")</f>
        <v>超过30%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7.9439252336448662E-2</v>
      </c>
      <c r="F43" s="435" t="str">
        <f>IF(OR(E43&gt;=0.2,E43&lt;=-0.2),"超过20%","")</f>
        <v/>
      </c>
      <c r="G43" s="434">
        <f>IF(G38&lt;I38,I38/G38-1,G38/I38-1)</f>
        <v>0.16822429906542058</v>
      </c>
      <c r="H43" s="435" t="str">
        <f>IF(OR(G43&gt;=0.2,G43&lt;=-0.2),"超过20%","")</f>
        <v/>
      </c>
      <c r="I43" s="434">
        <f>IF(I38&lt;E38,E38/I38-1,I38/E38-1)</f>
        <v>8.2251082251082241E-2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9.0909090909090828E-2</v>
      </c>
      <c r="F44" s="435" t="str">
        <f>IF(OR(E44&gt;=0.3,E44&lt;=-0.3),"超过30%","")</f>
        <v/>
      </c>
      <c r="G44" s="434">
        <f>IF(G37&lt;I37,I37/G37-1,G37/I37-1)</f>
        <v>0.18181818181818188</v>
      </c>
      <c r="H44" s="435" t="str">
        <f>IF(OR(G44&gt;=0.3,G44&lt;=-0.3),"超过30%","")</f>
        <v/>
      </c>
      <c r="I44" s="434">
        <f>IF(I37&lt;E37,E37/I37-1,I37/E37-1)</f>
        <v>8.3333333333333259E-2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220" t="s">
        <v>4018</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v>102</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3263"/>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64" t="s">
        <v>3965</v>
      </c>
      <c r="Q67" s="3265">
        <v>1</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63" t="s">
        <v>3957</v>
      </c>
      <c r="Q68" s="3265">
        <v>0.995</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63" t="s">
        <v>3958</v>
      </c>
      <c r="Q69" s="3265">
        <v>0.99</v>
      </c>
      <c r="R69" s="2487"/>
      <c r="S69" s="2487"/>
      <c r="T69" s="2487"/>
      <c r="U69" s="2487"/>
      <c r="V69" s="2487"/>
      <c r="W69" s="2487"/>
      <c r="X69" s="2487"/>
      <c r="Y69" s="2487"/>
      <c r="Z69" s="2487"/>
      <c r="AA69" s="2487"/>
      <c r="AB69" s="2487"/>
      <c r="AC69" s="2487"/>
    </row>
    <row r="70" spans="1:29" ht="15.75" thickBot="1">
      <c r="A70" s="367"/>
      <c r="B70" s="474"/>
      <c r="C70" s="475">
        <v>100</v>
      </c>
      <c r="D70" s="475">
        <f>C70-$K20</f>
        <v>99</v>
      </c>
      <c r="E70" s="475">
        <f>D70-$K20</f>
        <v>98</v>
      </c>
      <c r="F70" s="475">
        <f>E70-$K20</f>
        <v>97</v>
      </c>
      <c r="G70" s="475">
        <f>F70-$K20</f>
        <v>96</v>
      </c>
      <c r="H70" s="475"/>
      <c r="I70" s="475"/>
      <c r="J70" s="475"/>
      <c r="K70" s="475"/>
      <c r="L70" s="475"/>
      <c r="M70" s="476"/>
      <c r="N70" s="2522"/>
      <c r="O70" s="2522"/>
      <c r="P70" s="3263" t="s">
        <v>3959</v>
      </c>
      <c r="Q70" s="3265">
        <v>0.98499999999999999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63" t="s">
        <v>3960</v>
      </c>
      <c r="Q71" s="3265">
        <v>0.98</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63" t="s">
        <v>3961</v>
      </c>
      <c r="Q72" s="3265">
        <v>0.97499999999999998</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73" t="s">
        <v>3974</v>
      </c>
      <c r="D73" s="3273" t="s">
        <v>3975</v>
      </c>
      <c r="E73" s="480"/>
      <c r="F73" s="480"/>
      <c r="G73" s="485"/>
      <c r="H73" s="485"/>
      <c r="I73" s="485"/>
      <c r="J73" s="485"/>
      <c r="K73" s="485"/>
      <c r="L73" s="510"/>
      <c r="M73" s="511"/>
      <c r="N73" s="2520"/>
      <c r="O73" s="2520"/>
      <c r="P73" s="3263" t="s">
        <v>3737</v>
      </c>
      <c r="Q73" s="3265">
        <v>0.97</v>
      </c>
      <c r="R73" s="2439"/>
      <c r="S73" s="2439"/>
      <c r="T73" s="2439"/>
      <c r="U73" s="2439"/>
      <c r="V73" s="2439"/>
      <c r="W73" s="2439"/>
      <c r="X73" s="2439"/>
      <c r="Y73" s="2439"/>
      <c r="Z73" s="2439"/>
      <c r="AA73" s="2439"/>
      <c r="AB73" s="2439"/>
      <c r="AC73" s="2439"/>
    </row>
    <row r="74" spans="1:29" s="102" customFormat="1" ht="15.75" thickBot="1">
      <c r="A74" s="370"/>
      <c r="B74" s="474"/>
      <c r="C74" s="491">
        <v>100</v>
      </c>
      <c r="D74" s="467">
        <v>105</v>
      </c>
      <c r="E74" s="467"/>
      <c r="F74" s="467"/>
      <c r="G74" s="467"/>
      <c r="H74" s="467"/>
      <c r="I74" s="467"/>
      <c r="J74" s="467"/>
      <c r="K74" s="467"/>
      <c r="L74" s="467"/>
      <c r="M74" s="468"/>
      <c r="N74" s="2522"/>
      <c r="O74" s="2522"/>
      <c r="P74" s="3263" t="s">
        <v>3962</v>
      </c>
      <c r="Q74" s="3265">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73" t="s">
        <v>3978</v>
      </c>
      <c r="D75" s="3273" t="s">
        <v>3979</v>
      </c>
      <c r="E75" s="3273" t="s">
        <v>3980</v>
      </c>
      <c r="F75" s="3273" t="s">
        <v>3981</v>
      </c>
      <c r="G75" s="3224" t="s">
        <v>3982</v>
      </c>
      <c r="H75" s="485"/>
      <c r="I75" s="485"/>
      <c r="J75" s="485"/>
      <c r="K75" s="485"/>
      <c r="L75" s="485"/>
      <c r="M75" s="511"/>
      <c r="N75" s="2520"/>
      <c r="O75" s="2520"/>
      <c r="P75" s="3263" t="s">
        <v>3963</v>
      </c>
      <c r="Q75" s="3265">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74">
        <v>2</v>
      </c>
      <c r="I76" s="467"/>
      <c r="J76" s="467"/>
      <c r="K76" s="467"/>
      <c r="L76" s="467"/>
      <c r="M76" s="468"/>
      <c r="N76" s="2522"/>
      <c r="O76" s="2522"/>
      <c r="P76" s="3263" t="s">
        <v>3964</v>
      </c>
      <c r="Q76" s="3265">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63"/>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63"/>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63"/>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63"/>
      <c r="Q80" s="2508"/>
      <c r="R80" s="2487"/>
      <c r="S80" s="2487"/>
      <c r="T80" s="2487"/>
      <c r="U80" s="2487"/>
      <c r="V80" s="2487"/>
      <c r="W80" s="2487"/>
      <c r="X80" s="2487"/>
      <c r="Y80" s="2487"/>
      <c r="Z80" s="2487"/>
      <c r="AA80" s="2487"/>
      <c r="AB80" s="2487"/>
      <c r="AC80" s="2487"/>
    </row>
    <row r="81" spans="1:29" ht="15.75" thickTop="1">
      <c r="A81" s="367"/>
      <c r="B81" s="469" t="s">
        <v>1854</v>
      </c>
      <c r="C81" s="582" t="str">
        <f>C27</f>
        <v>1:0.6</v>
      </c>
      <c r="D81" s="582" t="str">
        <f>E27</f>
        <v>1:1</v>
      </c>
      <c r="E81" s="582" t="str">
        <f>G27</f>
        <v>1:1.2</v>
      </c>
      <c r="F81" s="582" t="str">
        <f>I27</f>
        <v>1:1.02</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99</v>
      </c>
      <c r="E82" s="467">
        <v>98</v>
      </c>
      <c r="F82" s="467">
        <v>99</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3738</v>
      </c>
      <c r="D83" s="3224" t="s">
        <v>3739</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20">D87+$K$29</f>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3741</v>
      </c>
      <c r="D88" s="3225" t="s">
        <v>3740</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3743</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3745</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t="str">
        <f>B34</f>
        <v>距离楼栋位置</v>
      </c>
      <c r="C97" s="3273" t="s">
        <v>4016</v>
      </c>
      <c r="D97" s="3273" t="s">
        <v>4017</v>
      </c>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v>100</v>
      </c>
      <c r="D98" s="467">
        <v>105</v>
      </c>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EF53B-5CAF-4978-8F73-A75A7DDAB5FC}">
  <dimension ref="F4:I45"/>
  <sheetViews>
    <sheetView workbookViewId="0">
      <selection activeCell="X39" sqref="X39"/>
    </sheetView>
  </sheetViews>
  <sheetFormatPr defaultRowHeight="13.5"/>
  <sheetData>
    <row r="4" spans="6:9">
      <c r="F4">
        <v>1</v>
      </c>
      <c r="G4">
        <v>-1012</v>
      </c>
      <c r="H4">
        <v>30.84</v>
      </c>
      <c r="I4">
        <v>12.72</v>
      </c>
    </row>
    <row r="5" spans="6:9">
      <c r="F5">
        <v>2</v>
      </c>
      <c r="G5">
        <v>-1013</v>
      </c>
      <c r="H5">
        <v>30.84</v>
      </c>
      <c r="I5">
        <v>12.72</v>
      </c>
    </row>
    <row r="6" spans="6:9">
      <c r="F6">
        <v>3</v>
      </c>
      <c r="G6">
        <v>-1014</v>
      </c>
      <c r="H6">
        <v>30.84</v>
      </c>
      <c r="I6">
        <v>12.72</v>
      </c>
    </row>
    <row r="7" spans="6:9">
      <c r="F7">
        <v>4</v>
      </c>
      <c r="G7">
        <v>-1015</v>
      </c>
      <c r="H7">
        <v>30.84</v>
      </c>
      <c r="I7">
        <v>12.72</v>
      </c>
    </row>
    <row r="8" spans="6:9">
      <c r="F8">
        <v>5</v>
      </c>
      <c r="G8">
        <v>-1016</v>
      </c>
      <c r="H8">
        <v>30.84</v>
      </c>
      <c r="I8">
        <v>12.72</v>
      </c>
    </row>
    <row r="9" spans="6:9">
      <c r="F9">
        <v>6</v>
      </c>
      <c r="G9">
        <v>-2187</v>
      </c>
      <c r="H9">
        <v>30.84</v>
      </c>
      <c r="I9">
        <v>12.72</v>
      </c>
    </row>
    <row r="10" spans="6:9">
      <c r="F10">
        <v>7</v>
      </c>
      <c r="G10">
        <v>-2188</v>
      </c>
      <c r="H10">
        <v>30.84</v>
      </c>
      <c r="I10">
        <v>12.72</v>
      </c>
    </row>
    <row r="11" spans="6:9">
      <c r="F11">
        <v>8</v>
      </c>
      <c r="G11">
        <v>-2189</v>
      </c>
      <c r="H11">
        <v>30.84</v>
      </c>
      <c r="I11">
        <v>12.72</v>
      </c>
    </row>
    <row r="12" spans="6:9">
      <c r="F12">
        <v>9</v>
      </c>
      <c r="G12">
        <v>-2190</v>
      </c>
      <c r="H12">
        <v>30.84</v>
      </c>
      <c r="I12">
        <v>12.72</v>
      </c>
    </row>
    <row r="13" spans="6:9">
      <c r="F13">
        <v>10</v>
      </c>
      <c r="G13">
        <v>-2191</v>
      </c>
      <c r="H13">
        <v>30.84</v>
      </c>
      <c r="I13">
        <v>12.72</v>
      </c>
    </row>
    <row r="14" spans="6:9">
      <c r="F14">
        <v>11</v>
      </c>
      <c r="G14">
        <v>-2192</v>
      </c>
      <c r="H14">
        <v>30.84</v>
      </c>
      <c r="I14">
        <v>12.72</v>
      </c>
    </row>
    <row r="15" spans="6:9">
      <c r="F15">
        <v>12</v>
      </c>
      <c r="G15">
        <v>-2193</v>
      </c>
      <c r="H15">
        <v>30.84</v>
      </c>
      <c r="I15">
        <v>12.72</v>
      </c>
    </row>
    <row r="16" spans="6:9">
      <c r="F16">
        <v>13</v>
      </c>
      <c r="G16">
        <v>-2194</v>
      </c>
      <c r="H16">
        <v>30.84</v>
      </c>
      <c r="I16">
        <v>12.72</v>
      </c>
    </row>
    <row r="17" spans="6:9">
      <c r="F17">
        <v>14</v>
      </c>
      <c r="G17">
        <v>-2195</v>
      </c>
      <c r="H17">
        <v>30.84</v>
      </c>
      <c r="I17">
        <v>12.72</v>
      </c>
    </row>
    <row r="18" spans="6:9">
      <c r="F18">
        <v>15</v>
      </c>
      <c r="G18">
        <v>-2196</v>
      </c>
      <c r="H18">
        <v>30.84</v>
      </c>
      <c r="I18">
        <v>12.72</v>
      </c>
    </row>
    <row r="19" spans="6:9">
      <c r="F19">
        <v>16</v>
      </c>
      <c r="G19">
        <v>-2197</v>
      </c>
      <c r="H19">
        <v>30.84</v>
      </c>
      <c r="I19">
        <v>12.72</v>
      </c>
    </row>
    <row r="20" spans="6:9">
      <c r="F20">
        <v>17</v>
      </c>
      <c r="G20">
        <v>-2198</v>
      </c>
      <c r="H20">
        <v>30.84</v>
      </c>
      <c r="I20">
        <v>12.72</v>
      </c>
    </row>
    <row r="21" spans="6:9">
      <c r="F21">
        <v>18</v>
      </c>
      <c r="G21">
        <v>-2199</v>
      </c>
      <c r="H21">
        <v>30.84</v>
      </c>
      <c r="I21">
        <v>12.72</v>
      </c>
    </row>
    <row r="22" spans="6:9">
      <c r="F22">
        <v>19</v>
      </c>
      <c r="G22">
        <v>-2200</v>
      </c>
      <c r="H22">
        <v>30.84</v>
      </c>
      <c r="I22">
        <v>12.72</v>
      </c>
    </row>
    <row r="23" spans="6:9">
      <c r="F23">
        <v>20</v>
      </c>
      <c r="G23">
        <v>-2201</v>
      </c>
      <c r="H23">
        <v>30.84</v>
      </c>
      <c r="I23">
        <v>12.72</v>
      </c>
    </row>
    <row r="24" spans="6:9">
      <c r="F24">
        <v>21</v>
      </c>
      <c r="G24">
        <v>-2202</v>
      </c>
      <c r="H24">
        <v>30.84</v>
      </c>
      <c r="I24">
        <v>12.72</v>
      </c>
    </row>
    <row r="25" spans="6:9">
      <c r="F25">
        <v>22</v>
      </c>
      <c r="G25">
        <v>-2203</v>
      </c>
      <c r="H25">
        <v>30.84</v>
      </c>
      <c r="I25">
        <v>12.72</v>
      </c>
    </row>
    <row r="26" spans="6:9">
      <c r="F26">
        <v>23</v>
      </c>
      <c r="G26">
        <v>-2204</v>
      </c>
      <c r="H26">
        <v>30.84</v>
      </c>
      <c r="I26">
        <v>12.72</v>
      </c>
    </row>
    <row r="27" spans="6:9">
      <c r="F27">
        <v>24</v>
      </c>
      <c r="G27">
        <v>-2215</v>
      </c>
      <c r="H27">
        <v>30.84</v>
      </c>
      <c r="I27">
        <v>12.72</v>
      </c>
    </row>
    <row r="28" spans="6:9">
      <c r="F28">
        <v>25</v>
      </c>
      <c r="G28">
        <v>-2216</v>
      </c>
      <c r="H28">
        <v>30.84</v>
      </c>
      <c r="I28">
        <v>12.72</v>
      </c>
    </row>
    <row r="29" spans="6:9">
      <c r="F29">
        <v>26</v>
      </c>
      <c r="G29">
        <v>-2217</v>
      </c>
      <c r="H29">
        <v>30.84</v>
      </c>
      <c r="I29">
        <v>12.72</v>
      </c>
    </row>
    <row r="30" spans="6:9">
      <c r="F30">
        <v>27</v>
      </c>
      <c r="G30">
        <v>-2218</v>
      </c>
      <c r="H30">
        <v>30.84</v>
      </c>
      <c r="I30">
        <v>12.72</v>
      </c>
    </row>
    <row r="31" spans="6:9">
      <c r="F31">
        <v>28</v>
      </c>
      <c r="G31">
        <v>-2219</v>
      </c>
      <c r="H31">
        <v>30.84</v>
      </c>
      <c r="I31">
        <v>12.72</v>
      </c>
    </row>
    <row r="32" spans="6:9">
      <c r="F32">
        <v>29</v>
      </c>
      <c r="G32">
        <v>-2220</v>
      </c>
      <c r="H32">
        <v>30.84</v>
      </c>
      <c r="I32">
        <v>12.72</v>
      </c>
    </row>
    <row r="33" spans="6:9">
      <c r="F33">
        <v>30</v>
      </c>
      <c r="G33">
        <v>-2221</v>
      </c>
      <c r="H33">
        <v>30.84</v>
      </c>
      <c r="I33">
        <v>12.72</v>
      </c>
    </row>
    <row r="34" spans="6:9">
      <c r="F34">
        <v>31</v>
      </c>
      <c r="G34">
        <v>-2222</v>
      </c>
      <c r="H34">
        <v>30.84</v>
      </c>
      <c r="I34">
        <v>12.72</v>
      </c>
    </row>
    <row r="35" spans="6:9">
      <c r="F35">
        <v>32</v>
      </c>
      <c r="G35">
        <v>-2223</v>
      </c>
      <c r="H35">
        <v>30.84</v>
      </c>
      <c r="I35">
        <v>12.72</v>
      </c>
    </row>
    <row r="36" spans="6:9">
      <c r="F36">
        <v>33</v>
      </c>
      <c r="G36">
        <v>-2224</v>
      </c>
      <c r="H36">
        <v>30.84</v>
      </c>
      <c r="I36">
        <v>12.72</v>
      </c>
    </row>
    <row r="37" spans="6:9">
      <c r="F37">
        <v>34</v>
      </c>
      <c r="G37">
        <v>-2225</v>
      </c>
      <c r="H37">
        <v>30.84</v>
      </c>
      <c r="I37">
        <v>12.72</v>
      </c>
    </row>
    <row r="38" spans="6:9">
      <c r="F38">
        <v>35</v>
      </c>
      <c r="G38">
        <v>-2226</v>
      </c>
      <c r="H38">
        <v>30.84</v>
      </c>
      <c r="I38">
        <v>12.72</v>
      </c>
    </row>
    <row r="39" spans="6:9">
      <c r="F39">
        <v>36</v>
      </c>
      <c r="G39">
        <v>-2227</v>
      </c>
      <c r="H39">
        <v>30.84</v>
      </c>
      <c r="I39">
        <v>12.72</v>
      </c>
    </row>
    <row r="40" spans="6:9">
      <c r="F40">
        <v>37</v>
      </c>
      <c r="G40">
        <v>-2228</v>
      </c>
      <c r="H40">
        <v>30.84</v>
      </c>
      <c r="I40">
        <v>12.72</v>
      </c>
    </row>
    <row r="41" spans="6:9">
      <c r="F41">
        <v>38</v>
      </c>
      <c r="G41">
        <v>-2229</v>
      </c>
      <c r="H41">
        <v>30.84</v>
      </c>
      <c r="I41">
        <v>12.72</v>
      </c>
    </row>
    <row r="42" spans="6:9">
      <c r="F42">
        <v>39</v>
      </c>
      <c r="G42">
        <v>-2230</v>
      </c>
      <c r="H42">
        <v>30.84</v>
      </c>
      <c r="I42">
        <v>12.72</v>
      </c>
    </row>
    <row r="43" spans="6:9">
      <c r="F43">
        <v>40</v>
      </c>
      <c r="G43">
        <v>-2231</v>
      </c>
      <c r="H43">
        <v>30.84</v>
      </c>
      <c r="I43">
        <v>12.72</v>
      </c>
    </row>
    <row r="44" spans="6:9">
      <c r="F44">
        <v>41</v>
      </c>
      <c r="G44">
        <v>-2232</v>
      </c>
      <c r="H44">
        <v>30.84</v>
      </c>
      <c r="I44">
        <v>12.72</v>
      </c>
    </row>
    <row r="45" spans="6:9">
      <c r="H45" s="3262">
        <f>SUM(H4:H44)</f>
        <v>1264.4399999999998</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25" zoomScale="115" zoomScaleNormal="70" zoomScaleSheetLayoutView="115" workbookViewId="0">
      <selection activeCell="F95" sqref="F9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3966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43" t="s">
        <v>1771</v>
      </c>
      <c r="S4" s="3544"/>
      <c r="T4" s="3543" t="s">
        <v>1772</v>
      </c>
      <c r="U4" s="3544"/>
      <c r="V4" s="3568" t="s">
        <v>1773</v>
      </c>
      <c r="W4" s="3568"/>
      <c r="X4" s="1265"/>
      <c r="Y4" s="3543" t="s">
        <v>1775</v>
      </c>
      <c r="Z4" s="3544"/>
      <c r="AA4" s="3538" t="s">
        <v>1771</v>
      </c>
      <c r="AB4" s="3539" t="s">
        <v>1772</v>
      </c>
      <c r="AC4" s="3538" t="s">
        <v>1773</v>
      </c>
    </row>
    <row r="5" spans="1:29" ht="15">
      <c r="A5" s="348"/>
      <c r="B5" s="349"/>
      <c r="C5" s="3549" t="s">
        <v>1673</v>
      </c>
      <c r="D5" s="3550"/>
      <c r="E5" s="3547" t="e">
        <f>#REF!</f>
        <v>#REF!</v>
      </c>
      <c r="F5" s="3548"/>
      <c r="G5" s="3549" t="e">
        <f>#REF!</f>
        <v>#REF!</v>
      </c>
      <c r="H5" s="3550"/>
      <c r="I5" s="3549" t="e">
        <f>#REF!</f>
        <v>#REF!</v>
      </c>
      <c r="J5" s="3550"/>
      <c r="K5" s="537"/>
      <c r="L5" s="2486"/>
      <c r="M5" s="2487"/>
      <c r="N5" s="2487"/>
      <c r="O5" s="2487"/>
      <c r="P5" s="3562"/>
      <c r="Q5" s="3563"/>
      <c r="R5" s="3545"/>
      <c r="S5" s="3546"/>
      <c r="T5" s="3545"/>
      <c r="U5" s="3546"/>
      <c r="V5" s="3568"/>
      <c r="W5" s="3568"/>
      <c r="X5" s="1265"/>
      <c r="Y5" s="3545"/>
      <c r="Z5" s="3546"/>
      <c r="AA5" s="3539"/>
      <c r="AB5" s="3539"/>
      <c r="AC5" s="3539"/>
    </row>
    <row r="6" spans="1:29" ht="15.75" thickBot="1">
      <c r="A6" s="350"/>
      <c r="B6" s="351"/>
      <c r="C6" s="3551" t="s">
        <v>1677</v>
      </c>
      <c r="D6" s="3552"/>
      <c r="E6" s="3553" t="s">
        <v>1677</v>
      </c>
      <c r="F6" s="3554"/>
      <c r="G6" s="3551" t="s">
        <v>1677</v>
      </c>
      <c r="H6" s="3552"/>
      <c r="I6" s="3551" t="s">
        <v>1677</v>
      </c>
      <c r="J6" s="3552"/>
      <c r="K6" s="537" t="s">
        <v>1678</v>
      </c>
      <c r="L6" s="2486"/>
      <c r="M6" s="2487"/>
      <c r="N6" s="2487"/>
      <c r="O6" s="2487"/>
      <c r="P6" s="3564"/>
      <c r="Q6" s="3565"/>
      <c r="R6" s="3545"/>
      <c r="S6" s="3546"/>
      <c r="T6" s="3566"/>
      <c r="U6" s="3567"/>
      <c r="V6" s="3568"/>
      <c r="W6" s="3568"/>
      <c r="X6" s="1265"/>
      <c r="Y6" s="3566"/>
      <c r="Z6" s="3567"/>
      <c r="AA6" s="3540"/>
      <c r="AB6" s="3540"/>
      <c r="AC6" s="3540"/>
    </row>
    <row r="7" spans="1:29" s="102" customFormat="1" ht="15.75" thickBot="1">
      <c r="A7" s="352" t="s">
        <v>1679</v>
      </c>
      <c r="B7" s="353"/>
      <c r="C7" s="354">
        <f>'数据-取费表'!B2</f>
        <v>45880</v>
      </c>
      <c r="D7" s="355">
        <v>100</v>
      </c>
      <c r="E7" s="356">
        <v>45839</v>
      </c>
      <c r="F7" s="357">
        <f>SUMIF(46:46,YEAR(E7)&amp;"-"&amp;MONTH(E7),47:47)</f>
        <v>0</v>
      </c>
      <c r="G7" s="1822">
        <v>45839</v>
      </c>
      <c r="H7" s="355">
        <f>SUMIF(46:46,YEAR(G7)&amp;"-"&amp;MONTH(G7),47:47)</f>
        <v>0</v>
      </c>
      <c r="I7" s="356">
        <v>45839</v>
      </c>
      <c r="J7" s="355">
        <f>SUMIF(46:46,YEAR(I7)&amp;"-"&amp;MONTH(I7),47:47)</f>
        <v>0</v>
      </c>
      <c r="K7" s="38"/>
      <c r="L7" s="2488"/>
      <c r="M7" s="2439"/>
      <c r="N7" s="2439"/>
      <c r="O7" s="2439"/>
      <c r="P7" s="3541" t="s">
        <v>1680</v>
      </c>
      <c r="Q7" s="3569"/>
      <c r="R7" s="664" t="s">
        <v>14</v>
      </c>
      <c r="S7" s="665">
        <f t="shared" ref="S7:S14" si="0">F7</f>
        <v>0</v>
      </c>
      <c r="T7" s="664" t="s">
        <v>14</v>
      </c>
      <c r="U7" s="665">
        <f t="shared" ref="U7:U14" si="1">H7</f>
        <v>0</v>
      </c>
      <c r="V7" s="664" t="s">
        <v>14</v>
      </c>
      <c r="W7" s="665">
        <f t="shared" ref="W7:W14" si="2">J7</f>
        <v>0</v>
      </c>
      <c r="X7" s="666"/>
      <c r="Y7" s="3541" t="s">
        <v>1680</v>
      </c>
      <c r="Z7" s="3542"/>
      <c r="AA7" s="50" t="e">
        <f>D7/F7</f>
        <v>#DIV/0!</v>
      </c>
      <c r="AB7" s="50" t="e">
        <f>D7/H7</f>
        <v>#DIV/0!</v>
      </c>
      <c r="AC7" s="50" t="e">
        <f>D7/J7</f>
        <v>#DIV/0!</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41" t="s">
        <v>1683</v>
      </c>
      <c r="Q8" s="3542"/>
      <c r="R8" s="664" t="s">
        <v>14</v>
      </c>
      <c r="S8" s="665">
        <f t="shared" si="0"/>
        <v>100</v>
      </c>
      <c r="T8" s="664" t="s">
        <v>14</v>
      </c>
      <c r="U8" s="665">
        <f t="shared" si="1"/>
        <v>100</v>
      </c>
      <c r="V8" s="664" t="s">
        <v>14</v>
      </c>
      <c r="W8" s="665">
        <f t="shared" si="2"/>
        <v>100</v>
      </c>
      <c r="X8" s="666"/>
      <c r="Y8" s="3541" t="s">
        <v>1683</v>
      </c>
      <c r="Z8" s="354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73" t="s">
        <v>1686</v>
      </c>
      <c r="Q9" s="530" t="str">
        <f t="shared" ref="Q9:Q14" si="6">B9</f>
        <v>用途</v>
      </c>
      <c r="R9" s="664" t="s">
        <v>14</v>
      </c>
      <c r="S9" s="665">
        <f t="shared" si="0"/>
        <v>100</v>
      </c>
      <c r="T9" s="664" t="s">
        <v>14</v>
      </c>
      <c r="U9" s="665">
        <f t="shared" si="1"/>
        <v>100</v>
      </c>
      <c r="V9" s="664" t="s">
        <v>14</v>
      </c>
      <c r="W9" s="665">
        <f t="shared" si="2"/>
        <v>100</v>
      </c>
      <c r="X9" s="666"/>
      <c r="Y9" s="344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73"/>
      <c r="Q10" s="530" t="str">
        <f t="shared" si="6"/>
        <v>土地使用年限（年）</v>
      </c>
      <c r="R10" s="664" t="s">
        <v>14</v>
      </c>
      <c r="S10" s="665">
        <f t="shared" si="0"/>
        <v>100</v>
      </c>
      <c r="T10" s="664" t="s">
        <v>14</v>
      </c>
      <c r="U10" s="665">
        <f t="shared" si="1"/>
        <v>100</v>
      </c>
      <c r="V10" s="664" t="s">
        <v>14</v>
      </c>
      <c r="W10" s="665">
        <f t="shared" si="2"/>
        <v>100</v>
      </c>
      <c r="X10" s="666"/>
      <c r="Y10" s="34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73"/>
      <c r="Q11" s="530">
        <f t="shared" si="6"/>
        <v>111</v>
      </c>
      <c r="R11" s="664" t="s">
        <v>14</v>
      </c>
      <c r="S11" s="665">
        <f t="shared" si="0"/>
        <v>100</v>
      </c>
      <c r="T11" s="664" t="s">
        <v>14</v>
      </c>
      <c r="U11" s="665">
        <f t="shared" si="1"/>
        <v>100</v>
      </c>
      <c r="V11" s="664" t="s">
        <v>14</v>
      </c>
      <c r="W11" s="665">
        <f t="shared" si="2"/>
        <v>100</v>
      </c>
      <c r="X11" s="666"/>
      <c r="Y11" s="34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73"/>
      <c r="Q12" s="530">
        <f t="shared" si="6"/>
        <v>111</v>
      </c>
      <c r="R12" s="664" t="s">
        <v>14</v>
      </c>
      <c r="S12" s="665">
        <f t="shared" si="0"/>
        <v>100</v>
      </c>
      <c r="T12" s="664" t="s">
        <v>14</v>
      </c>
      <c r="U12" s="665">
        <f t="shared" si="1"/>
        <v>100</v>
      </c>
      <c r="V12" s="664" t="s">
        <v>14</v>
      </c>
      <c r="W12" s="665">
        <f t="shared" si="2"/>
        <v>100</v>
      </c>
      <c r="X12" s="666"/>
      <c r="Y12" s="34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73"/>
      <c r="Q13" s="530">
        <f t="shared" si="6"/>
        <v>111</v>
      </c>
      <c r="R13" s="664" t="s">
        <v>14</v>
      </c>
      <c r="S13" s="665">
        <f t="shared" si="0"/>
        <v>100</v>
      </c>
      <c r="T13" s="664" t="s">
        <v>14</v>
      </c>
      <c r="U13" s="665">
        <f t="shared" si="1"/>
        <v>100</v>
      </c>
      <c r="V13" s="664" t="s">
        <v>14</v>
      </c>
      <c r="W13" s="665">
        <f t="shared" si="2"/>
        <v>100</v>
      </c>
      <c r="X13" s="666"/>
      <c r="Y13" s="3444"/>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74" t="s">
        <v>1691</v>
      </c>
      <c r="Q14" s="1263" t="str">
        <f t="shared" si="6"/>
        <v>交通便捷度</v>
      </c>
      <c r="R14" s="667" t="s">
        <v>14</v>
      </c>
      <c r="S14" s="668">
        <f t="shared" si="0"/>
        <v>105</v>
      </c>
      <c r="T14" s="667" t="s">
        <v>14</v>
      </c>
      <c r="U14" s="668">
        <f t="shared" si="1"/>
        <v>105</v>
      </c>
      <c r="V14" s="667" t="s">
        <v>14</v>
      </c>
      <c r="W14" s="668">
        <f t="shared" si="2"/>
        <v>110</v>
      </c>
      <c r="X14" s="1265"/>
      <c r="Y14" s="3574"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3573</v>
      </c>
      <c r="D15" s="387"/>
      <c r="E15" s="386" t="s">
        <v>3546</v>
      </c>
      <c r="F15" s="388"/>
      <c r="G15" s="386" t="s">
        <v>3546</v>
      </c>
      <c r="H15" s="389"/>
      <c r="I15" s="386" t="s">
        <v>3547</v>
      </c>
      <c r="J15" s="387"/>
      <c r="K15" s="541"/>
      <c r="L15" s="2492"/>
      <c r="M15" s="2487"/>
      <c r="N15" s="2487"/>
      <c r="O15" s="2542"/>
      <c r="P15" s="3575"/>
      <c r="Q15" s="1263"/>
      <c r="R15" s="667"/>
      <c r="S15" s="668"/>
      <c r="T15" s="667"/>
      <c r="U15" s="668"/>
      <c r="V15" s="667"/>
      <c r="W15" s="668"/>
      <c r="X15" s="1265"/>
      <c r="Y15" s="3575"/>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75"/>
      <c r="Q16" s="1263" t="str">
        <f>B16</f>
        <v>公共配套设施</v>
      </c>
      <c r="R16" s="667" t="s">
        <v>14</v>
      </c>
      <c r="S16" s="668">
        <f>F16</f>
        <v>102</v>
      </c>
      <c r="T16" s="667" t="s">
        <v>14</v>
      </c>
      <c r="U16" s="668">
        <f>H16</f>
        <v>102</v>
      </c>
      <c r="V16" s="667" t="s">
        <v>14</v>
      </c>
      <c r="W16" s="668">
        <f>J16</f>
        <v>104</v>
      </c>
      <c r="X16" s="1265"/>
      <c r="Y16" s="3575"/>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75"/>
      <c r="Q17" s="1263"/>
      <c r="R17" s="667"/>
      <c r="S17" s="668"/>
      <c r="T17" s="667"/>
      <c r="U17" s="668"/>
      <c r="V17" s="667"/>
      <c r="W17" s="668"/>
      <c r="X17" s="1265"/>
      <c r="Y17" s="357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75"/>
      <c r="Q18" s="1263" t="str">
        <f>B18</f>
        <v>基础设施水平</v>
      </c>
      <c r="R18" s="667" t="s">
        <v>14</v>
      </c>
      <c r="S18" s="668">
        <f>F18</f>
        <v>100</v>
      </c>
      <c r="T18" s="667" t="s">
        <v>14</v>
      </c>
      <c r="U18" s="668">
        <f>H18</f>
        <v>100</v>
      </c>
      <c r="V18" s="667" t="s">
        <v>14</v>
      </c>
      <c r="W18" s="668">
        <f>J18</f>
        <v>100</v>
      </c>
      <c r="X18" s="1265"/>
      <c r="Y18" s="3575"/>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75"/>
      <c r="Q19" s="1263"/>
      <c r="R19" s="667"/>
      <c r="S19" s="668"/>
      <c r="T19" s="667"/>
      <c r="U19" s="668"/>
      <c r="V19" s="667"/>
      <c r="W19" s="668"/>
      <c r="X19" s="1265"/>
      <c r="Y19" s="3575"/>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75"/>
      <c r="Q20" s="1263" t="str">
        <f>B20</f>
        <v>自然及人文环境</v>
      </c>
      <c r="R20" s="667" t="s">
        <v>14</v>
      </c>
      <c r="S20" s="668">
        <f>F20</f>
        <v>102</v>
      </c>
      <c r="T20" s="667" t="s">
        <v>14</v>
      </c>
      <c r="U20" s="668">
        <f>H20</f>
        <v>102</v>
      </c>
      <c r="V20" s="667" t="s">
        <v>14</v>
      </c>
      <c r="W20" s="668">
        <f>J20</f>
        <v>104</v>
      </c>
      <c r="X20" s="1265"/>
      <c r="Y20" s="3575"/>
      <c r="Z20" s="1264" t="str">
        <f>Q20</f>
        <v>自然及人文环境</v>
      </c>
      <c r="AA20" s="1264">
        <f t="shared" si="3"/>
        <v>0.98039215686274506</v>
      </c>
      <c r="AB20" s="1264">
        <f t="shared" si="4"/>
        <v>0.98039215686274506</v>
      </c>
      <c r="AC20" s="1264">
        <f t="shared" si="5"/>
        <v>0.96153846153846156</v>
      </c>
    </row>
    <row r="21" spans="1:29" ht="15">
      <c r="A21" s="367"/>
      <c r="B21" s="395"/>
      <c r="C21" s="386" t="s">
        <v>3573</v>
      </c>
      <c r="D21" s="387"/>
      <c r="E21" s="386" t="s">
        <v>3546</v>
      </c>
      <c r="F21" s="388"/>
      <c r="G21" s="386" t="s">
        <v>3546</v>
      </c>
      <c r="H21" s="387"/>
      <c r="I21" s="386" t="s">
        <v>3547</v>
      </c>
      <c r="J21" s="387"/>
      <c r="K21" s="541"/>
      <c r="L21" s="2492"/>
      <c r="M21" s="2487"/>
      <c r="N21" s="2487"/>
      <c r="O21" s="2542"/>
      <c r="P21" s="3575"/>
      <c r="Q21" s="1263"/>
      <c r="R21" s="667"/>
      <c r="S21" s="668"/>
      <c r="T21" s="667"/>
      <c r="U21" s="668"/>
      <c r="V21" s="667"/>
      <c r="W21" s="668"/>
      <c r="X21" s="1265"/>
      <c r="Y21" s="357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75"/>
      <c r="Q22" s="1263" t="str">
        <f>B22</f>
        <v>楼层</v>
      </c>
      <c r="R22" s="667" t="s">
        <v>14</v>
      </c>
      <c r="S22" s="668">
        <f>F22</f>
        <v>100</v>
      </c>
      <c r="T22" s="667" t="s">
        <v>14</v>
      </c>
      <c r="U22" s="668">
        <f>H22</f>
        <v>100</v>
      </c>
      <c r="V22" s="667" t="s">
        <v>14</v>
      </c>
      <c r="W22" s="668">
        <f>J22</f>
        <v>100</v>
      </c>
      <c r="X22" s="1265"/>
      <c r="Y22" s="3575"/>
      <c r="Z22" s="1264" t="str">
        <f>Q22</f>
        <v>楼层</v>
      </c>
      <c r="AA22" s="1264">
        <f t="shared" si="3"/>
        <v>1</v>
      </c>
      <c r="AB22" s="1264">
        <f t="shared" si="4"/>
        <v>1</v>
      </c>
      <c r="AC22" s="1264">
        <f t="shared" si="5"/>
        <v>1</v>
      </c>
    </row>
    <row r="23" spans="1:29" ht="28.5">
      <c r="A23" s="348"/>
      <c r="B23" s="3275" t="s">
        <v>3984</v>
      </c>
      <c r="C23" s="3272" t="s">
        <v>3985</v>
      </c>
      <c r="D23" s="374">
        <v>100</v>
      </c>
      <c r="E23" s="3272" t="s">
        <v>3985</v>
      </c>
      <c r="F23" s="400">
        <f>SUMIF(71:71,E23,72:72)-SUMIF(71:71,C23,72:72)+100</f>
        <v>100</v>
      </c>
      <c r="G23" s="3272" t="s">
        <v>3985</v>
      </c>
      <c r="H23" s="374">
        <f>SUMIF(71:71,G23,72:72)-SUMIF(71:71,C23,72:72)+100</f>
        <v>100</v>
      </c>
      <c r="I23" s="3272" t="s">
        <v>3985</v>
      </c>
      <c r="J23" s="374">
        <f>SUMIF(71:71,I23,72:72)-SUMIF(71:71,C23,72:72)+100</f>
        <v>100</v>
      </c>
      <c r="K23" s="539"/>
      <c r="L23" s="2492"/>
      <c r="M23" s="2487"/>
      <c r="N23" s="2487"/>
      <c r="O23" s="2542"/>
      <c r="P23" s="3575"/>
      <c r="Q23" s="1263" t="str">
        <f>B23</f>
        <v>人群构成（家庭/个税）</v>
      </c>
      <c r="R23" s="667" t="s">
        <v>14</v>
      </c>
      <c r="S23" s="668">
        <f>F23</f>
        <v>100</v>
      </c>
      <c r="T23" s="667" t="s">
        <v>14</v>
      </c>
      <c r="U23" s="668">
        <f>H23</f>
        <v>100</v>
      </c>
      <c r="V23" s="667" t="s">
        <v>14</v>
      </c>
      <c r="W23" s="668">
        <f>J23</f>
        <v>100</v>
      </c>
      <c r="X23" s="1265"/>
      <c r="Y23" s="3575"/>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75"/>
      <c r="Q24" s="1263">
        <f t="shared" ref="Q24:Q34" si="11">B24</f>
        <v>111</v>
      </c>
      <c r="R24" s="667" t="s">
        <v>14</v>
      </c>
      <c r="S24" s="668">
        <f>F24</f>
        <v>100</v>
      </c>
      <c r="T24" s="667" t="s">
        <v>14</v>
      </c>
      <c r="U24" s="668">
        <f>H24</f>
        <v>100</v>
      </c>
      <c r="V24" s="667" t="s">
        <v>14</v>
      </c>
      <c r="W24" s="668">
        <f>J24</f>
        <v>100</v>
      </c>
      <c r="X24" s="1265"/>
      <c r="Y24" s="357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75"/>
      <c r="Q25" s="530">
        <f t="shared" si="11"/>
        <v>111</v>
      </c>
      <c r="R25" s="664" t="s">
        <v>14</v>
      </c>
      <c r="S25" s="665">
        <f>F25</f>
        <v>100</v>
      </c>
      <c r="T25" s="664" t="s">
        <v>14</v>
      </c>
      <c r="U25" s="665">
        <f>H25</f>
        <v>100</v>
      </c>
      <c r="V25" s="664" t="s">
        <v>14</v>
      </c>
      <c r="W25" s="665">
        <f>J25</f>
        <v>100</v>
      </c>
      <c r="X25" s="666"/>
      <c r="Y25" s="3575"/>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1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79"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79"/>
      <c r="Q27" s="531" t="str">
        <f t="shared" si="11"/>
        <v>成新率</v>
      </c>
      <c r="R27" s="669" t="s">
        <v>14</v>
      </c>
      <c r="S27" s="670">
        <f t="shared" si="12"/>
        <v>100</v>
      </c>
      <c r="T27" s="669" t="s">
        <v>14</v>
      </c>
      <c r="U27" s="670">
        <f t="shared" si="13"/>
        <v>98.5</v>
      </c>
      <c r="V27" s="669" t="s">
        <v>14</v>
      </c>
      <c r="W27" s="670">
        <f t="shared" si="14"/>
        <v>98.5</v>
      </c>
      <c r="X27" s="671"/>
      <c r="Y27" s="3579"/>
      <c r="Z27" s="672" t="str">
        <f t="shared" si="15"/>
        <v>成新率</v>
      </c>
      <c r="AA27" s="1264">
        <f t="shared" si="3"/>
        <v>1</v>
      </c>
      <c r="AB27" s="1264">
        <f t="shared" si="4"/>
        <v>1.015228426395939</v>
      </c>
      <c r="AC27" s="1264">
        <f t="shared" si="5"/>
        <v>1.015228426395939</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79"/>
      <c r="Q28" s="1263" t="str">
        <f t="shared" si="11"/>
        <v>物业等级</v>
      </c>
      <c r="R28" s="667" t="s">
        <v>14</v>
      </c>
      <c r="S28" s="668">
        <f t="shared" si="12"/>
        <v>100</v>
      </c>
      <c r="T28" s="667" t="s">
        <v>14</v>
      </c>
      <c r="U28" s="668">
        <f t="shared" si="13"/>
        <v>100</v>
      </c>
      <c r="V28" s="667" t="s">
        <v>14</v>
      </c>
      <c r="W28" s="668">
        <f t="shared" si="14"/>
        <v>100</v>
      </c>
      <c r="X28" s="1265"/>
      <c r="Y28" s="3579"/>
      <c r="Z28" s="1264" t="str">
        <f t="shared" si="15"/>
        <v>物业等级</v>
      </c>
      <c r="AA28" s="1264">
        <f t="shared" si="3"/>
        <v>1</v>
      </c>
      <c r="AB28" s="1264">
        <f t="shared" si="4"/>
        <v>1</v>
      </c>
      <c r="AC28" s="1264">
        <f t="shared" si="5"/>
        <v>1</v>
      </c>
    </row>
    <row r="29" spans="1:29" ht="15">
      <c r="A29" s="409"/>
      <c r="B29" s="364" t="s">
        <v>1860</v>
      </c>
      <c r="C29" s="578" t="s">
        <v>3967</v>
      </c>
      <c r="D29" s="374">
        <v>100</v>
      </c>
      <c r="E29" s="578" t="s">
        <v>3967</v>
      </c>
      <c r="F29" s="400">
        <f>SUMIF(84:84,E29,85:85)-SUMIF(84:84,C29,85:85)+100</f>
        <v>100</v>
      </c>
      <c r="G29" s="578" t="s">
        <v>3967</v>
      </c>
      <c r="H29" s="374">
        <f>SUMIF(84:84,G29,85:85)-SUMIF(84:84,C29,85:85)+100</f>
        <v>100</v>
      </c>
      <c r="I29" s="578" t="s">
        <v>3967</v>
      </c>
      <c r="J29" s="374">
        <f>SUMIF(84:84,I29,85:85)-SUMIF(84:84,C29,85:85)+100</f>
        <v>100</v>
      </c>
      <c r="K29" s="538"/>
      <c r="L29" s="2492"/>
      <c r="M29" s="2487"/>
      <c r="N29" s="2487"/>
      <c r="O29" s="2542"/>
      <c r="P29" s="3579"/>
      <c r="Q29" s="1263" t="str">
        <f t="shared" si="11"/>
        <v>有无电梯</v>
      </c>
      <c r="R29" s="667" t="s">
        <v>14</v>
      </c>
      <c r="S29" s="668">
        <f t="shared" si="12"/>
        <v>100</v>
      </c>
      <c r="T29" s="667" t="s">
        <v>14</v>
      </c>
      <c r="U29" s="668">
        <f t="shared" si="13"/>
        <v>100</v>
      </c>
      <c r="V29" s="667" t="s">
        <v>14</v>
      </c>
      <c r="W29" s="668">
        <f t="shared" si="14"/>
        <v>100</v>
      </c>
      <c r="X29" s="1265"/>
      <c r="Y29" s="3579"/>
      <c r="Z29" s="1264" t="str">
        <f t="shared" si="15"/>
        <v>有无电梯</v>
      </c>
      <c r="AA29" s="1264">
        <f t="shared" si="3"/>
        <v>1</v>
      </c>
      <c r="AB29" s="1264">
        <f t="shared" si="4"/>
        <v>1</v>
      </c>
      <c r="AC29" s="1264">
        <f t="shared" si="5"/>
        <v>1</v>
      </c>
    </row>
    <row r="30" spans="1:29" ht="15">
      <c r="A30" s="409"/>
      <c r="B30" s="364" t="s">
        <v>1861</v>
      </c>
      <c r="C30" s="407">
        <v>11</v>
      </c>
      <c r="D30" s="374">
        <v>100</v>
      </c>
      <c r="E30" s="407" t="e">
        <f>#REF!</f>
        <v>#REF!</v>
      </c>
      <c r="F30" s="400" t="e">
        <f>LOOKUP(E30,87:87,88:88)-LOOKUP(C30,87:87,88:88)+100</f>
        <v>#REF!</v>
      </c>
      <c r="G30" s="407" t="e">
        <f>#REF!</f>
        <v>#REF!</v>
      </c>
      <c r="H30" s="374" t="e">
        <f>LOOKUP(G30,87:87,88:88)-LOOKUP(C30,87:87,88:88)+100</f>
        <v>#REF!</v>
      </c>
      <c r="I30" s="407" t="e">
        <f>#REF!</f>
        <v>#REF!</v>
      </c>
      <c r="J30" s="374" t="e">
        <f>LOOKUP(I30,87:87,88:88)-LOOKUP(C30,87:87,88:88)+100</f>
        <v>#REF!</v>
      </c>
      <c r="K30" s="539"/>
      <c r="L30" s="2492"/>
      <c r="M30" s="2487"/>
      <c r="N30" s="2487"/>
      <c r="O30" s="2542"/>
      <c r="P30" s="3579"/>
      <c r="Q30" s="1263" t="str">
        <f t="shared" si="11"/>
        <v>建筑面积</v>
      </c>
      <c r="R30" s="667" t="s">
        <v>14</v>
      </c>
      <c r="S30" s="668" t="e">
        <f t="shared" si="12"/>
        <v>#REF!</v>
      </c>
      <c r="T30" s="667" t="s">
        <v>14</v>
      </c>
      <c r="U30" s="668" t="e">
        <f t="shared" si="13"/>
        <v>#REF!</v>
      </c>
      <c r="V30" s="667" t="s">
        <v>14</v>
      </c>
      <c r="W30" s="668" t="e">
        <f t="shared" si="14"/>
        <v>#REF!</v>
      </c>
      <c r="X30" s="1265"/>
      <c r="Y30" s="3579"/>
      <c r="Z30" s="1264" t="str">
        <f t="shared" si="15"/>
        <v>建筑面积</v>
      </c>
      <c r="AA30" s="1264" t="e">
        <f t="shared" si="3"/>
        <v>#REF!</v>
      </c>
      <c r="AB30" s="1264" t="e">
        <f t="shared" si="4"/>
        <v>#REF!</v>
      </c>
      <c r="AC30" s="1264" t="e">
        <f t="shared" si="5"/>
        <v>#REF!</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79"/>
      <c r="Q31" s="530" t="str">
        <f t="shared" si="11"/>
        <v>是否封闭</v>
      </c>
      <c r="R31" s="664" t="s">
        <v>14</v>
      </c>
      <c r="S31" s="665">
        <f t="shared" si="12"/>
        <v>100</v>
      </c>
      <c r="T31" s="664" t="s">
        <v>14</v>
      </c>
      <c r="U31" s="665">
        <f t="shared" si="13"/>
        <v>100</v>
      </c>
      <c r="V31" s="664" t="s">
        <v>14</v>
      </c>
      <c r="W31" s="665">
        <f t="shared" si="14"/>
        <v>100</v>
      </c>
      <c r="X31" s="666"/>
      <c r="Y31" s="3579"/>
      <c r="Z31" s="50" t="str">
        <f t="shared" si="15"/>
        <v>是否封闭</v>
      </c>
      <c r="AA31" s="50">
        <f t="shared" si="3"/>
        <v>1</v>
      </c>
      <c r="AB31" s="50">
        <f t="shared" si="4"/>
        <v>1</v>
      </c>
      <c r="AC31" s="50">
        <f t="shared" si="5"/>
        <v>1</v>
      </c>
    </row>
    <row r="32" spans="1:29" ht="15">
      <c r="A32" s="409"/>
      <c r="B32" s="3276" t="s">
        <v>3986</v>
      </c>
      <c r="C32" s="3272" t="s">
        <v>3987</v>
      </c>
      <c r="D32" s="374">
        <v>100</v>
      </c>
      <c r="E32" s="3272" t="s">
        <v>3987</v>
      </c>
      <c r="F32" s="400">
        <f>SUMIF(91:91,E32,92:92)-SUMIF(91:91,C32,92:92)+100</f>
        <v>100</v>
      </c>
      <c r="G32" s="3272" t="s">
        <v>3987</v>
      </c>
      <c r="H32" s="374">
        <f>SUMIF(91:91,G32,92:92)-SUMIF(91:91,C32,92:92)+100</f>
        <v>100</v>
      </c>
      <c r="I32" s="3272" t="s">
        <v>3987</v>
      </c>
      <c r="J32" s="374">
        <f>SUMIF(91:91,I32,92:92)-SUMIF(91:91,C32,92:92)+100</f>
        <v>100</v>
      </c>
      <c r="K32" s="539"/>
      <c r="L32" s="2492"/>
      <c r="M32" s="2487"/>
      <c r="N32" s="2487"/>
      <c r="O32" s="2542"/>
      <c r="P32" s="3579" t="s">
        <v>1696</v>
      </c>
      <c r="Q32" s="1263" t="str">
        <f t="shared" si="11"/>
        <v>通水电</v>
      </c>
      <c r="R32" s="667" t="s">
        <v>14</v>
      </c>
      <c r="S32" s="668">
        <f t="shared" si="12"/>
        <v>100</v>
      </c>
      <c r="T32" s="667" t="s">
        <v>14</v>
      </c>
      <c r="U32" s="668">
        <f t="shared" si="13"/>
        <v>100</v>
      </c>
      <c r="V32" s="667" t="s">
        <v>14</v>
      </c>
      <c r="W32" s="668">
        <f t="shared" si="14"/>
        <v>100</v>
      </c>
      <c r="X32" s="1265"/>
      <c r="Y32" s="3579" t="s">
        <v>1696</v>
      </c>
      <c r="Z32" s="1264" t="str">
        <f t="shared" si="15"/>
        <v>通水电</v>
      </c>
      <c r="AA32" s="1264">
        <f t="shared" si="3"/>
        <v>1</v>
      </c>
      <c r="AB32" s="1264">
        <f t="shared" si="4"/>
        <v>1</v>
      </c>
      <c r="AC32" s="1264">
        <f t="shared" si="5"/>
        <v>1</v>
      </c>
    </row>
    <row r="33" spans="1:30" ht="15">
      <c r="A33" s="409"/>
      <c r="B33" s="3276" t="s">
        <v>3988</v>
      </c>
      <c r="C33" s="3277" t="s">
        <v>3996</v>
      </c>
      <c r="D33" s="374">
        <v>100</v>
      </c>
      <c r="E33" s="3272" t="s">
        <v>3994</v>
      </c>
      <c r="F33" s="400">
        <f>SUMIF(93:93,E33,94:94)-SUMIF(93:93,C33,94:94)+100</f>
        <v>93</v>
      </c>
      <c r="G33" s="3272" t="s">
        <v>3994</v>
      </c>
      <c r="H33" s="374">
        <f>SUMIF(93:93,G33,94:94)-SUMIF(93:93,C33,94:94)+100</f>
        <v>93</v>
      </c>
      <c r="I33" s="3272" t="s">
        <v>3994</v>
      </c>
      <c r="J33" s="374">
        <f>SUMIF(93:93,I33,94:94)-SUMIF(93:93,C33,94:94)+100</f>
        <v>93</v>
      </c>
      <c r="K33" s="539"/>
      <c r="L33" s="2492"/>
      <c r="M33" s="2487"/>
      <c r="N33" s="2487"/>
      <c r="O33" s="2542"/>
      <c r="P33" s="3579"/>
      <c r="Q33" s="1263" t="str">
        <f t="shared" si="11"/>
        <v>公摊面积</v>
      </c>
      <c r="R33" s="667" t="s">
        <v>14</v>
      </c>
      <c r="S33" s="668">
        <f t="shared" si="12"/>
        <v>93</v>
      </c>
      <c r="T33" s="667" t="s">
        <v>14</v>
      </c>
      <c r="U33" s="668">
        <f t="shared" si="13"/>
        <v>93</v>
      </c>
      <c r="V33" s="667" t="s">
        <v>14</v>
      </c>
      <c r="W33" s="668">
        <f t="shared" si="14"/>
        <v>93</v>
      </c>
      <c r="X33" s="1265"/>
      <c r="Y33" s="3579"/>
      <c r="Z33" s="1264" t="str">
        <f t="shared" si="15"/>
        <v>公摊面积</v>
      </c>
      <c r="AA33" s="1264">
        <f t="shared" si="3"/>
        <v>1.075268817204301</v>
      </c>
      <c r="AB33" s="1264">
        <f t="shared" si="4"/>
        <v>1.075268817204301</v>
      </c>
      <c r="AC33" s="1264">
        <f t="shared" si="5"/>
        <v>1.075268817204301</v>
      </c>
    </row>
    <row r="34" spans="1:30" ht="15.75" thickBot="1">
      <c r="A34" s="415"/>
      <c r="B34" s="3278" t="s">
        <v>3989</v>
      </c>
      <c r="C34" s="3279" t="s">
        <v>3990</v>
      </c>
      <c r="D34" s="377">
        <v>100</v>
      </c>
      <c r="E34" s="3280" t="s">
        <v>3991</v>
      </c>
      <c r="F34" s="378">
        <f>SUMIF(95:95,E34,96:96)-SUMIF(95:95,C34,96:96)+100</f>
        <v>99</v>
      </c>
      <c r="G34" s="3280" t="s">
        <v>3991</v>
      </c>
      <c r="H34" s="377">
        <f>SUMIF(95:95,G34,96:96)-SUMIF(95:95,C34,96:96)+100</f>
        <v>99</v>
      </c>
      <c r="I34" s="3280" t="s">
        <v>3991</v>
      </c>
      <c r="J34" s="377">
        <f>SUMIF(95:95,I34,96:96)-SUMIF(95:95,C34,96:96)+100</f>
        <v>99</v>
      </c>
      <c r="K34" s="539"/>
      <c r="L34" s="2492"/>
      <c r="M34" s="2487"/>
      <c r="N34" s="2487"/>
      <c r="O34" s="2542"/>
      <c r="P34" s="3579"/>
      <c r="Q34" s="1263" t="str">
        <f t="shared" si="11"/>
        <v>层高</v>
      </c>
      <c r="R34" s="667" t="s">
        <v>14</v>
      </c>
      <c r="S34" s="668">
        <f t="shared" si="12"/>
        <v>99</v>
      </c>
      <c r="T34" s="667" t="s">
        <v>14</v>
      </c>
      <c r="U34" s="668">
        <f t="shared" si="13"/>
        <v>99</v>
      </c>
      <c r="V34" s="667" t="s">
        <v>14</v>
      </c>
      <c r="W34" s="668">
        <f t="shared" si="14"/>
        <v>99</v>
      </c>
      <c r="X34" s="1265"/>
      <c r="Y34" s="3579"/>
      <c r="Z34" s="1264" t="str">
        <f t="shared" si="15"/>
        <v>层高</v>
      </c>
      <c r="AA34" s="1264">
        <f t="shared" si="3"/>
        <v>1.0101010101010102</v>
      </c>
      <c r="AB34" s="1264">
        <f t="shared" si="4"/>
        <v>1.0101010101010102</v>
      </c>
      <c r="AC34" s="1264">
        <f t="shared" si="5"/>
        <v>1.0101010101010102</v>
      </c>
    </row>
    <row r="35" spans="1:30" ht="15">
      <c r="A35" s="416" t="s">
        <v>1708</v>
      </c>
      <c r="B35" s="417"/>
      <c r="C35" s="1081" t="s">
        <v>0</v>
      </c>
      <c r="D35" s="418"/>
      <c r="E35" s="419" t="e">
        <f>#REF!</f>
        <v>#REF!</v>
      </c>
      <c r="F35" s="420"/>
      <c r="G35" s="421" t="e">
        <f>#REF!</f>
        <v>#REF!</v>
      </c>
      <c r="H35" s="422"/>
      <c r="I35" s="419" t="e">
        <f>#REF!</f>
        <v>#REF!</v>
      </c>
      <c r="J35" s="422"/>
      <c r="K35" s="674"/>
      <c r="L35" s="2494"/>
      <c r="M35" s="2487"/>
      <c r="N35" s="2487"/>
      <c r="O35" s="2487"/>
      <c r="P35" s="3573" t="str">
        <f>A35</f>
        <v>成交单价（元/平方米）</v>
      </c>
      <c r="Q35" s="3573"/>
      <c r="R35" s="3568" t="e">
        <f>E35</f>
        <v>#REF!</v>
      </c>
      <c r="S35" s="3568"/>
      <c r="T35" s="3568" t="e">
        <f>G35</f>
        <v>#REF!</v>
      </c>
      <c r="U35" s="3568"/>
      <c r="V35" s="3568" t="e">
        <f>I35</f>
        <v>#REF!</v>
      </c>
      <c r="W35" s="3568"/>
      <c r="X35" s="385"/>
      <c r="Y35" s="673"/>
      <c r="Z35" s="385"/>
      <c r="AA35" s="385"/>
      <c r="AB35" s="385"/>
      <c r="AC35" s="385"/>
    </row>
    <row r="36" spans="1:30" ht="15.75" thickBot="1">
      <c r="A36" s="423" t="s">
        <v>1793</v>
      </c>
      <c r="B36" s="424"/>
      <c r="C36" s="1082" t="e">
        <f>R37</f>
        <v>#REF!</v>
      </c>
      <c r="D36" s="2141" t="s">
        <v>2138</v>
      </c>
      <c r="E36" s="1083" t="e">
        <f>R36</f>
        <v>#REF!</v>
      </c>
      <c r="F36" s="2142"/>
      <c r="G36" s="1082" t="e">
        <f>T36</f>
        <v>#REF!</v>
      </c>
      <c r="H36" s="2142"/>
      <c r="I36" s="1083" t="e">
        <f>V36</f>
        <v>#REF!</v>
      </c>
      <c r="J36" s="2142"/>
      <c r="K36" s="2144">
        <f>F36+H36+J36</f>
        <v>0</v>
      </c>
      <c r="L36" s="2494"/>
      <c r="M36" s="2487"/>
      <c r="N36" s="2487"/>
      <c r="O36" s="2487"/>
      <c r="P36" s="3573" t="str">
        <f>A36</f>
        <v>比较价值（元/平方米）</v>
      </c>
      <c r="Q36" s="3573"/>
      <c r="R36" s="3568" t="e">
        <f>IF(F1="售价",ROUND(PRODUCT(R35,AA7:AA34),0),ROUND(PRODUCT(R35,AA7:AA34),2))</f>
        <v>#REF!</v>
      </c>
      <c r="S36" s="3568"/>
      <c r="T36" s="3568" t="e">
        <f>IF(F1="售价",ROUND(PRODUCT(T35,AB7:AB34),0),ROUND(PRODUCT(T35,AB7:AB34),2))</f>
        <v>#REF!</v>
      </c>
      <c r="U36" s="3568"/>
      <c r="V36" s="3568" t="e">
        <f>IF(F1="售价",ROUND(PRODUCT(V35,AC7:AC34),0),ROUND(PRODUCT(V35,AC7:AC34),2))</f>
        <v>#REF!</v>
      </c>
      <c r="W36" s="3568"/>
      <c r="X36" s="385"/>
      <c r="Y36" s="385"/>
      <c r="Z36" s="385"/>
      <c r="AA36" s="385"/>
      <c r="AB36" s="385"/>
      <c r="AC36" s="385"/>
    </row>
    <row r="37" spans="1:30" ht="15.75" thickBot="1">
      <c r="A37" s="427" t="s">
        <v>1794</v>
      </c>
      <c r="B37" s="428"/>
      <c r="C37" s="351" t="e">
        <f>R37</f>
        <v>#REF!</v>
      </c>
      <c r="D37" s="351"/>
      <c r="E37" s="351"/>
      <c r="F37" s="351"/>
      <c r="G37" s="351"/>
      <c r="H37" s="351"/>
      <c r="I37" s="351"/>
      <c r="J37" s="351"/>
      <c r="K37" s="675"/>
      <c r="L37" s="2494"/>
      <c r="M37" s="2487"/>
      <c r="N37" s="2487"/>
      <c r="O37" s="2487"/>
      <c r="P37" s="3570" t="str">
        <f>A37</f>
        <v>估价对象XX用房的比较价值（楼面单价，元/平方米）</v>
      </c>
      <c r="Q37" s="3571"/>
      <c r="R37" s="3619" t="e">
        <f>IF(F1="售价",ROUND(IF(D36="简单平均",AVERAGE(R36:W36),R36*F36+T36*H36+V36*J36),0),ROUND(IF(D36="简单平均",AVERAGE(R36:V36),R36*F36+T36*H36+V36*J36),2))</f>
        <v>#REF!</v>
      </c>
      <c r="S37" s="3619"/>
      <c r="T37" s="3619"/>
      <c r="U37" s="3619"/>
      <c r="V37" s="3619"/>
      <c r="W37" s="3619"/>
      <c r="X37" s="385"/>
      <c r="Y37" s="385"/>
      <c r="Z37" s="385"/>
      <c r="AA37" s="385"/>
      <c r="AB37" s="385"/>
      <c r="AC37" s="385"/>
    </row>
    <row r="38" spans="1:30">
      <c r="A38" s="2487"/>
      <c r="B38" s="2487">
        <v>2</v>
      </c>
      <c r="C38" s="2487" t="e">
        <f>C37+B39</f>
        <v>#REF!</v>
      </c>
      <c r="D38" s="2487" t="e">
        <f>C38*30</f>
        <v>#REF!</v>
      </c>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#REF!</v>
      </c>
      <c r="F40" s="435" t="e">
        <f>IF(OR(E40&gt;=0.3,E40&lt;=-0.3),"超过30%","")</f>
        <v>#REF!</v>
      </c>
      <c r="G40" s="434" t="e">
        <f>IF(G35&lt;G36,G36/G35-1,G35/G36-1)</f>
        <v>#REF!</v>
      </c>
      <c r="H40" s="435" t="e">
        <f>IF(OR(G40&gt;=0.3,G40&lt;=-0.3),"超过30%","")</f>
        <v>#REF!</v>
      </c>
      <c r="I40" s="434" t="e">
        <f>IF(I35&lt;I36,I36/I35-1,I35/I36-1)</f>
        <v>#REF!</v>
      </c>
      <c r="J40" s="435" t="e">
        <f>IF(OR(I40&gt;=0.3,I40&lt;=-0.3),"超过30%","")</f>
        <v>#REF!</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#REF!</v>
      </c>
      <c r="F41" s="435" t="e">
        <f>IF(OR(E41&gt;=0.2,E41&lt;=-0.2),"超过20%","")</f>
        <v>#REF!</v>
      </c>
      <c r="G41" s="434" t="e">
        <f>IF(G36&lt;I36,I36/G36-1,G36/I36-1)</f>
        <v>#REF!</v>
      </c>
      <c r="H41" s="435" t="e">
        <f>IF(OR(G41&gt;=0.2,G41&lt;=-0.2),"超过20%","")</f>
        <v>#REF!</v>
      </c>
      <c r="I41" s="434" t="e">
        <f>IF(I36&lt;E36,E36/I36-1,I36/E36-1)</f>
        <v>#REF!</v>
      </c>
      <c r="J41" s="435" t="e">
        <f>IF(OR(I41&gt;=0.2,I41&lt;=-0.2),"超过20%","")</f>
        <v>#REF!</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#REF!</v>
      </c>
      <c r="F42" s="435" t="e">
        <f>IF(OR(E42&gt;=0.3,E42&lt;=-0.3),"超过30%","")</f>
        <v>#REF!</v>
      </c>
      <c r="G42" s="434" t="e">
        <f>IF(G35&lt;I35,I35/G35-1,G35/I35-1)</f>
        <v>#REF!</v>
      </c>
      <c r="H42" s="435" t="e">
        <f>IF(OR(G42&gt;=0.3,G42&lt;=-0.3),"超过30%","")</f>
        <v>#REF!</v>
      </c>
      <c r="I42" s="434" t="e">
        <f>IF(I35&lt;E35,E35/I35-1,I35/E35-1)</f>
        <v>#REF!</v>
      </c>
      <c r="J42" s="435" t="e">
        <f>IF(OR(I42&gt;=0.3,I42&lt;=-0.3),"超过30%","")</f>
        <v>#REF!</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29.2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3738</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3740</v>
      </c>
      <c r="D82" s="3224" t="s">
        <v>3741</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3968</v>
      </c>
      <c r="D84" s="3224" t="s">
        <v>3969</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3970</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3273" t="s">
        <v>3987</v>
      </c>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v>100</v>
      </c>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t="str">
        <f>B33</f>
        <v>公摊面积</v>
      </c>
      <c r="C93" s="3273" t="s">
        <v>3993</v>
      </c>
      <c r="D93" s="3273" t="s">
        <v>3994</v>
      </c>
      <c r="E93" s="3281" t="s">
        <v>3995</v>
      </c>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v>100</v>
      </c>
      <c r="D94" s="467">
        <f>C94-$F$94</f>
        <v>93</v>
      </c>
      <c r="E94" s="467">
        <f>D94-$F$94</f>
        <v>86</v>
      </c>
      <c r="F94" s="467">
        <v>7</v>
      </c>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t="str">
        <f>B34</f>
        <v>层高</v>
      </c>
      <c r="C95" s="3281" t="s">
        <v>3990</v>
      </c>
      <c r="D95" s="3281" t="s">
        <v>3992</v>
      </c>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v>100</v>
      </c>
      <c r="D96" s="491">
        <v>99</v>
      </c>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43" t="s">
        <v>1771</v>
      </c>
      <c r="S4" s="3544"/>
      <c r="T4" s="3543" t="s">
        <v>1772</v>
      </c>
      <c r="U4" s="3544"/>
      <c r="V4" s="3568" t="s">
        <v>1773</v>
      </c>
      <c r="W4" s="3568"/>
      <c r="X4" s="1265"/>
      <c r="Y4" s="3543" t="s">
        <v>1775</v>
      </c>
      <c r="Z4" s="3544"/>
      <c r="AA4" s="3538" t="s">
        <v>1771</v>
      </c>
      <c r="AB4" s="3539" t="s">
        <v>1772</v>
      </c>
      <c r="AC4" s="3538" t="s">
        <v>1773</v>
      </c>
    </row>
    <row r="5" spans="1:29" ht="15">
      <c r="A5" s="348"/>
      <c r="B5" s="349"/>
      <c r="C5" s="3549" t="s">
        <v>1673</v>
      </c>
      <c r="D5" s="3550"/>
      <c r="E5" s="3547" t="s">
        <v>1674</v>
      </c>
      <c r="F5" s="3548"/>
      <c r="G5" s="3549" t="s">
        <v>1675</v>
      </c>
      <c r="H5" s="3550"/>
      <c r="I5" s="3549" t="s">
        <v>1676</v>
      </c>
      <c r="J5" s="3550"/>
      <c r="K5" s="537"/>
      <c r="L5" s="2486"/>
      <c r="M5" s="2487"/>
      <c r="N5" s="2487"/>
      <c r="O5" s="2487"/>
      <c r="P5" s="3562"/>
      <c r="Q5" s="3563"/>
      <c r="R5" s="3545"/>
      <c r="S5" s="3546"/>
      <c r="T5" s="3545"/>
      <c r="U5" s="3546"/>
      <c r="V5" s="3568"/>
      <c r="W5" s="3568"/>
      <c r="X5" s="1265"/>
      <c r="Y5" s="3545"/>
      <c r="Z5" s="3546"/>
      <c r="AA5" s="3539"/>
      <c r="AB5" s="3539"/>
      <c r="AC5" s="3539"/>
    </row>
    <row r="6" spans="1:29" ht="15.75" thickBot="1">
      <c r="A6" s="350"/>
      <c r="B6" s="351"/>
      <c r="C6" s="3551" t="s">
        <v>1677</v>
      </c>
      <c r="D6" s="3552"/>
      <c r="E6" s="3553" t="s">
        <v>1677</v>
      </c>
      <c r="F6" s="3554"/>
      <c r="G6" s="3551" t="s">
        <v>1677</v>
      </c>
      <c r="H6" s="3552"/>
      <c r="I6" s="3551" t="s">
        <v>1677</v>
      </c>
      <c r="J6" s="3552"/>
      <c r="K6" s="537" t="s">
        <v>1678</v>
      </c>
      <c r="L6" s="2486"/>
      <c r="M6" s="2487"/>
      <c r="N6" s="2487"/>
      <c r="O6" s="2487"/>
      <c r="P6" s="3564"/>
      <c r="Q6" s="3565"/>
      <c r="R6" s="3545"/>
      <c r="S6" s="3546"/>
      <c r="T6" s="3566"/>
      <c r="U6" s="3567"/>
      <c r="V6" s="3568"/>
      <c r="W6" s="3568"/>
      <c r="X6" s="1265"/>
      <c r="Y6" s="3566"/>
      <c r="Z6" s="3567"/>
      <c r="AA6" s="3540"/>
      <c r="AB6" s="3540"/>
      <c r="AC6" s="3540"/>
    </row>
    <row r="7" spans="1:29" s="102" customFormat="1" ht="15.75" thickBot="1">
      <c r="A7" s="352" t="s">
        <v>1679</v>
      </c>
      <c r="B7" s="353"/>
      <c r="C7" s="354">
        <f>'数据-取费表'!B2</f>
        <v>45880</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41" t="s">
        <v>1680</v>
      </c>
      <c r="Q7" s="3569"/>
      <c r="R7" s="664" t="s">
        <v>14</v>
      </c>
      <c r="S7" s="665">
        <f t="shared" ref="S7:S15" si="0">F7</f>
        <v>0</v>
      </c>
      <c r="T7" s="664" t="s">
        <v>14</v>
      </c>
      <c r="U7" s="665">
        <f t="shared" ref="U7:U15" si="1">H7</f>
        <v>0</v>
      </c>
      <c r="V7" s="664" t="s">
        <v>14</v>
      </c>
      <c r="W7" s="665">
        <f t="shared" ref="W7:W15" si="2">J7</f>
        <v>0</v>
      </c>
      <c r="X7" s="666"/>
      <c r="Y7" s="3541" t="s">
        <v>1680</v>
      </c>
      <c r="Z7" s="354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41" t="s">
        <v>1683</v>
      </c>
      <c r="Q8" s="3542"/>
      <c r="R8" s="664" t="s">
        <v>14</v>
      </c>
      <c r="S8" s="665">
        <f t="shared" si="0"/>
        <v>0</v>
      </c>
      <c r="T8" s="664" t="s">
        <v>14</v>
      </c>
      <c r="U8" s="665">
        <f t="shared" si="1"/>
        <v>0</v>
      </c>
      <c r="V8" s="664" t="s">
        <v>14</v>
      </c>
      <c r="W8" s="665">
        <f t="shared" si="2"/>
        <v>0</v>
      </c>
      <c r="X8" s="666"/>
      <c r="Y8" s="3541" t="s">
        <v>1683</v>
      </c>
      <c r="Z8" s="354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73" t="s">
        <v>1686</v>
      </c>
      <c r="Q9" s="530" t="str">
        <f t="shared" ref="Q9:Q15" si="6">B9</f>
        <v>用途</v>
      </c>
      <c r="R9" s="664" t="s">
        <v>14</v>
      </c>
      <c r="S9" s="665">
        <f t="shared" si="0"/>
        <v>100</v>
      </c>
      <c r="T9" s="664" t="s">
        <v>14</v>
      </c>
      <c r="U9" s="665">
        <f t="shared" si="1"/>
        <v>100</v>
      </c>
      <c r="V9" s="664" t="s">
        <v>14</v>
      </c>
      <c r="W9" s="665">
        <f t="shared" si="2"/>
        <v>100</v>
      </c>
      <c r="X9" s="666"/>
      <c r="Y9" s="34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73"/>
      <c r="Q10" s="530" t="str">
        <f t="shared" si="6"/>
        <v>土地使用年限（年）</v>
      </c>
      <c r="R10" s="664" t="s">
        <v>14</v>
      </c>
      <c r="S10" s="665">
        <f t="shared" si="0"/>
        <v>100</v>
      </c>
      <c r="T10" s="664" t="s">
        <v>14</v>
      </c>
      <c r="U10" s="665">
        <f t="shared" si="1"/>
        <v>100</v>
      </c>
      <c r="V10" s="664" t="s">
        <v>14</v>
      </c>
      <c r="W10" s="665">
        <f t="shared" si="2"/>
        <v>100</v>
      </c>
      <c r="X10" s="666"/>
      <c r="Y10" s="344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73"/>
      <c r="Q11" s="530" t="str">
        <f t="shared" si="6"/>
        <v>容积率</v>
      </c>
      <c r="R11" s="664" t="s">
        <v>14</v>
      </c>
      <c r="S11" s="665" t="e">
        <f t="shared" si="0"/>
        <v>#N/A</v>
      </c>
      <c r="T11" s="664" t="s">
        <v>14</v>
      </c>
      <c r="U11" s="665" t="e">
        <f t="shared" si="1"/>
        <v>#N/A</v>
      </c>
      <c r="V11" s="664" t="s">
        <v>14</v>
      </c>
      <c r="W11" s="665" t="e">
        <f t="shared" si="2"/>
        <v>#N/A</v>
      </c>
      <c r="X11" s="666"/>
      <c r="Y11" s="34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73"/>
      <c r="Q12" s="530" t="str">
        <f t="shared" si="6"/>
        <v>配建</v>
      </c>
      <c r="R12" s="664" t="s">
        <v>14</v>
      </c>
      <c r="S12" s="665">
        <f t="shared" si="0"/>
        <v>100</v>
      </c>
      <c r="T12" s="664" t="s">
        <v>14</v>
      </c>
      <c r="U12" s="665">
        <f t="shared" si="1"/>
        <v>100</v>
      </c>
      <c r="V12" s="664" t="s">
        <v>14</v>
      </c>
      <c r="W12" s="665">
        <f t="shared" si="2"/>
        <v>100</v>
      </c>
      <c r="X12" s="666"/>
      <c r="Y12" s="34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73"/>
      <c r="Q13" s="530">
        <f t="shared" si="6"/>
        <v>111</v>
      </c>
      <c r="R13" s="664" t="s">
        <v>14</v>
      </c>
      <c r="S13" s="665">
        <f t="shared" si="0"/>
        <v>100</v>
      </c>
      <c r="T13" s="664" t="s">
        <v>14</v>
      </c>
      <c r="U13" s="665">
        <f t="shared" si="1"/>
        <v>100</v>
      </c>
      <c r="V13" s="664" t="s">
        <v>14</v>
      </c>
      <c r="W13" s="665">
        <f t="shared" si="2"/>
        <v>100</v>
      </c>
      <c r="X13" s="666"/>
      <c r="Y13" s="34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73"/>
      <c r="Q14" s="530">
        <f t="shared" si="6"/>
        <v>111</v>
      </c>
      <c r="R14" s="664" t="s">
        <v>14</v>
      </c>
      <c r="S14" s="665">
        <f t="shared" si="0"/>
        <v>100</v>
      </c>
      <c r="T14" s="664" t="s">
        <v>14</v>
      </c>
      <c r="U14" s="665">
        <f t="shared" si="1"/>
        <v>100</v>
      </c>
      <c r="V14" s="664" t="s">
        <v>14</v>
      </c>
      <c r="W14" s="665">
        <f t="shared" si="2"/>
        <v>100</v>
      </c>
      <c r="X14" s="666"/>
      <c r="Y14" s="34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74" t="s">
        <v>1691</v>
      </c>
      <c r="Q15" s="1263" t="str">
        <f t="shared" si="6"/>
        <v>居住社区成熟度</v>
      </c>
      <c r="R15" s="667" t="s">
        <v>14</v>
      </c>
      <c r="S15" s="668">
        <f t="shared" si="0"/>
        <v>100</v>
      </c>
      <c r="T15" s="667" t="s">
        <v>14</v>
      </c>
      <c r="U15" s="668">
        <f t="shared" si="1"/>
        <v>100</v>
      </c>
      <c r="V15" s="667" t="s">
        <v>14</v>
      </c>
      <c r="W15" s="668">
        <f t="shared" si="2"/>
        <v>100</v>
      </c>
      <c r="X15" s="1265"/>
      <c r="Y15" s="357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75"/>
      <c r="Q16" s="1263"/>
      <c r="R16" s="667"/>
      <c r="S16" s="668"/>
      <c r="T16" s="667"/>
      <c r="U16" s="668"/>
      <c r="V16" s="667"/>
      <c r="W16" s="668"/>
      <c r="X16" s="1265"/>
      <c r="Y16" s="357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75"/>
      <c r="Q17" s="1263" t="str">
        <f>B17</f>
        <v>商业繁华度</v>
      </c>
      <c r="R17" s="667" t="s">
        <v>14</v>
      </c>
      <c r="S17" s="668">
        <f>F17</f>
        <v>100</v>
      </c>
      <c r="T17" s="667" t="s">
        <v>14</v>
      </c>
      <c r="U17" s="668">
        <f>H17</f>
        <v>100</v>
      </c>
      <c r="V17" s="667" t="s">
        <v>14</v>
      </c>
      <c r="W17" s="668">
        <f>J17</f>
        <v>100</v>
      </c>
      <c r="X17" s="1265"/>
      <c r="Y17" s="357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75"/>
      <c r="Q18" s="1263"/>
      <c r="R18" s="667"/>
      <c r="S18" s="668"/>
      <c r="T18" s="667"/>
      <c r="U18" s="668"/>
      <c r="V18" s="667"/>
      <c r="W18" s="668"/>
      <c r="X18" s="1265"/>
      <c r="Y18" s="357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75"/>
      <c r="Q19" s="1263" t="str">
        <f>B19</f>
        <v>办公集聚程度</v>
      </c>
      <c r="R19" s="667" t="s">
        <v>14</v>
      </c>
      <c r="S19" s="668">
        <f>F19</f>
        <v>100</v>
      </c>
      <c r="T19" s="667" t="s">
        <v>14</v>
      </c>
      <c r="U19" s="668">
        <f>H19</f>
        <v>100</v>
      </c>
      <c r="V19" s="667" t="s">
        <v>14</v>
      </c>
      <c r="W19" s="668">
        <f>J19</f>
        <v>100</v>
      </c>
      <c r="X19" s="1265"/>
      <c r="Y19" s="357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75"/>
      <c r="Q20" s="1263"/>
      <c r="R20" s="667"/>
      <c r="S20" s="668"/>
      <c r="T20" s="667"/>
      <c r="U20" s="668"/>
      <c r="V20" s="667"/>
      <c r="W20" s="668"/>
      <c r="X20" s="1265"/>
      <c r="Y20" s="3575"/>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75"/>
      <c r="Q21" s="1263" t="str">
        <f>B21</f>
        <v>交通便捷度</v>
      </c>
      <c r="R21" s="667" t="s">
        <v>14</v>
      </c>
      <c r="S21" s="668">
        <f>F21</f>
        <v>100</v>
      </c>
      <c r="T21" s="667" t="s">
        <v>14</v>
      </c>
      <c r="U21" s="668">
        <f>H21</f>
        <v>100</v>
      </c>
      <c r="V21" s="667" t="s">
        <v>14</v>
      </c>
      <c r="W21" s="668">
        <f>J21</f>
        <v>100</v>
      </c>
      <c r="X21" s="1265"/>
      <c r="Y21" s="357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75"/>
      <c r="Q22" s="1263"/>
      <c r="R22" s="667"/>
      <c r="S22" s="668"/>
      <c r="T22" s="667"/>
      <c r="U22" s="668"/>
      <c r="V22" s="667"/>
      <c r="W22" s="668"/>
      <c r="X22" s="1265"/>
      <c r="Y22" s="357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75"/>
      <c r="Q23" s="1263" t="str">
        <f t="shared" ref="Q23:Q37" si="8">B23</f>
        <v>区域土地利用方向</v>
      </c>
      <c r="R23" s="667" t="s">
        <v>14</v>
      </c>
      <c r="S23" s="668">
        <f>F23</f>
        <v>100</v>
      </c>
      <c r="T23" s="667" t="s">
        <v>14</v>
      </c>
      <c r="U23" s="668">
        <f>H23</f>
        <v>100</v>
      </c>
      <c r="V23" s="667" t="s">
        <v>14</v>
      </c>
      <c r="W23" s="668">
        <f>J23</f>
        <v>100</v>
      </c>
      <c r="X23" s="1265"/>
      <c r="Y23" s="357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75"/>
      <c r="Q24" s="1263"/>
      <c r="R24" s="667"/>
      <c r="S24" s="668"/>
      <c r="T24" s="667"/>
      <c r="U24" s="668"/>
      <c r="V24" s="667"/>
      <c r="W24" s="668"/>
      <c r="X24" s="1265"/>
      <c r="Y24" s="3575"/>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75"/>
      <c r="Q25" s="1263" t="str">
        <f t="shared" si="8"/>
        <v>自然及人文环境状况</v>
      </c>
      <c r="R25" s="667" t="s">
        <v>14</v>
      </c>
      <c r="S25" s="668">
        <f>F25</f>
        <v>100</v>
      </c>
      <c r="T25" s="667" t="s">
        <v>14</v>
      </c>
      <c r="U25" s="668">
        <f>H25</f>
        <v>100</v>
      </c>
      <c r="V25" s="667" t="s">
        <v>14</v>
      </c>
      <c r="W25" s="668">
        <f>J25</f>
        <v>100</v>
      </c>
      <c r="X25" s="1265"/>
      <c r="Y25" s="357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75"/>
      <c r="Q26" s="1263"/>
      <c r="R26" s="667"/>
      <c r="S26" s="668"/>
      <c r="T26" s="667"/>
      <c r="U26" s="668"/>
      <c r="V26" s="667"/>
      <c r="W26" s="668"/>
      <c r="X26" s="1265"/>
      <c r="Y26" s="3575"/>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75"/>
      <c r="Q27" s="530" t="str">
        <f t="shared" si="8"/>
        <v>公共配套设施</v>
      </c>
      <c r="R27" s="664" t="s">
        <v>14</v>
      </c>
      <c r="S27" s="665">
        <f>F27</f>
        <v>100</v>
      </c>
      <c r="T27" s="664" t="s">
        <v>14</v>
      </c>
      <c r="U27" s="665">
        <f>H27</f>
        <v>100</v>
      </c>
      <c r="V27" s="664" t="s">
        <v>14</v>
      </c>
      <c r="W27" s="665">
        <f>J27</f>
        <v>100</v>
      </c>
      <c r="X27" s="666"/>
      <c r="Y27" s="357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75"/>
      <c r="Q28" s="530"/>
      <c r="R28" s="664"/>
      <c r="S28" s="665"/>
      <c r="T28" s="664"/>
      <c r="U28" s="665"/>
      <c r="V28" s="664"/>
      <c r="W28" s="665"/>
      <c r="X28" s="666"/>
      <c r="Y28" s="357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75"/>
      <c r="Q29" s="530" t="str">
        <f t="shared" ref="Q29" si="9">B29</f>
        <v>基础设施水平</v>
      </c>
      <c r="R29" s="664" t="s">
        <v>14</v>
      </c>
      <c r="S29" s="665">
        <f>F29</f>
        <v>100</v>
      </c>
      <c r="T29" s="664" t="s">
        <v>14</v>
      </c>
      <c r="U29" s="665">
        <f>H29</f>
        <v>100</v>
      </c>
      <c r="V29" s="664" t="s">
        <v>14</v>
      </c>
      <c r="W29" s="665">
        <f>J29</f>
        <v>100</v>
      </c>
      <c r="X29" s="666"/>
      <c r="Y29" s="357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75"/>
      <c r="Q30" s="530"/>
      <c r="R30" s="664"/>
      <c r="S30" s="665"/>
      <c r="T30" s="664"/>
      <c r="U30" s="665"/>
      <c r="V30" s="664"/>
      <c r="W30" s="665"/>
      <c r="X30" s="666"/>
      <c r="Y30" s="357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7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7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75"/>
      <c r="Q32" s="1263" t="str">
        <f t="shared" si="8"/>
        <v>毗邻道路的类型与等级</v>
      </c>
      <c r="R32" s="667" t="s">
        <v>14</v>
      </c>
      <c r="S32" s="668">
        <f t="shared" si="10"/>
        <v>100</v>
      </c>
      <c r="T32" s="667" t="s">
        <v>14</v>
      </c>
      <c r="U32" s="668">
        <f t="shared" si="11"/>
        <v>100</v>
      </c>
      <c r="V32" s="667" t="s">
        <v>14</v>
      </c>
      <c r="W32" s="668">
        <f t="shared" si="12"/>
        <v>100</v>
      </c>
      <c r="X32" s="1265"/>
      <c r="Y32" s="357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75"/>
      <c r="Q33" s="1263"/>
      <c r="R33" s="667"/>
      <c r="S33" s="668"/>
      <c r="T33" s="667"/>
      <c r="U33" s="668"/>
      <c r="V33" s="667"/>
      <c r="W33" s="668"/>
      <c r="X33" s="1265"/>
      <c r="Y33" s="357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75"/>
      <c r="Q34" s="1263" t="str">
        <f t="shared" si="8"/>
        <v>土地级别</v>
      </c>
      <c r="R34" s="667" t="s">
        <v>14</v>
      </c>
      <c r="S34" s="668">
        <f t="shared" si="10"/>
        <v>100</v>
      </c>
      <c r="T34" s="667" t="s">
        <v>14</v>
      </c>
      <c r="U34" s="668">
        <f t="shared" si="11"/>
        <v>100</v>
      </c>
      <c r="V34" s="667" t="s">
        <v>14</v>
      </c>
      <c r="W34" s="668">
        <f t="shared" si="12"/>
        <v>100</v>
      </c>
      <c r="X34" s="1265"/>
      <c r="Y34" s="357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75"/>
      <c r="Q35" s="1263">
        <f t="shared" si="8"/>
        <v>111</v>
      </c>
      <c r="R35" s="667" t="s">
        <v>14</v>
      </c>
      <c r="S35" s="668">
        <f t="shared" si="10"/>
        <v>100</v>
      </c>
      <c r="T35" s="667" t="s">
        <v>14</v>
      </c>
      <c r="U35" s="668">
        <f t="shared" si="11"/>
        <v>100</v>
      </c>
      <c r="V35" s="667" t="s">
        <v>14</v>
      </c>
      <c r="W35" s="668">
        <f t="shared" si="12"/>
        <v>100</v>
      </c>
      <c r="X35" s="1265"/>
      <c r="Y35" s="357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18" t="s">
        <v>1696</v>
      </c>
      <c r="Q36" s="1263">
        <f t="shared" si="8"/>
        <v>111</v>
      </c>
      <c r="R36" s="667" t="s">
        <v>14</v>
      </c>
      <c r="S36" s="668">
        <f t="shared" si="10"/>
        <v>100</v>
      </c>
      <c r="T36" s="667" t="s">
        <v>14</v>
      </c>
      <c r="U36" s="668">
        <f t="shared" si="11"/>
        <v>100</v>
      </c>
      <c r="V36" s="667" t="s">
        <v>14</v>
      </c>
      <c r="W36" s="668">
        <f t="shared" si="12"/>
        <v>100</v>
      </c>
      <c r="X36" s="1265"/>
      <c r="Y36" s="357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79"/>
      <c r="Q37" s="1263">
        <f t="shared" si="8"/>
        <v>111</v>
      </c>
      <c r="R37" s="669" t="s">
        <v>14</v>
      </c>
      <c r="S37" s="670">
        <f t="shared" si="10"/>
        <v>100</v>
      </c>
      <c r="T37" s="669" t="s">
        <v>14</v>
      </c>
      <c r="U37" s="670">
        <f t="shared" si="11"/>
        <v>100</v>
      </c>
      <c r="V37" s="669" t="s">
        <v>14</v>
      </c>
      <c r="W37" s="670">
        <f t="shared" si="12"/>
        <v>100</v>
      </c>
      <c r="X37" s="671"/>
      <c r="Y37" s="357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79"/>
      <c r="Q38" s="1263" t="str">
        <f>B38</f>
        <v>宗地面积</v>
      </c>
      <c r="R38" s="667" t="s">
        <v>14</v>
      </c>
      <c r="S38" s="668" t="e">
        <f t="shared" si="10"/>
        <v>#N/A</v>
      </c>
      <c r="T38" s="667" t="s">
        <v>14</v>
      </c>
      <c r="U38" s="668" t="e">
        <f t="shared" si="11"/>
        <v>#N/A</v>
      </c>
      <c r="V38" s="667" t="s">
        <v>14</v>
      </c>
      <c r="W38" s="668" t="e">
        <f t="shared" si="12"/>
        <v>#N/A</v>
      </c>
      <c r="X38" s="1265"/>
      <c r="Y38" s="357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79"/>
      <c r="Q39" s="1263" t="str">
        <f t="shared" ref="Q39:Q45" si="14">B39</f>
        <v>宗地形状</v>
      </c>
      <c r="R39" s="667" t="s">
        <v>14</v>
      </c>
      <c r="S39" s="668">
        <f t="shared" si="10"/>
        <v>100</v>
      </c>
      <c r="T39" s="667" t="s">
        <v>14</v>
      </c>
      <c r="U39" s="668">
        <f t="shared" si="11"/>
        <v>100</v>
      </c>
      <c r="V39" s="667" t="s">
        <v>14</v>
      </c>
      <c r="W39" s="668">
        <f t="shared" si="12"/>
        <v>100</v>
      </c>
      <c r="X39" s="1265"/>
      <c r="Y39" s="357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79"/>
      <c r="Q40" s="1263" t="str">
        <f t="shared" si="14"/>
        <v>临街宽度及深度</v>
      </c>
      <c r="R40" s="667" t="s">
        <v>14</v>
      </c>
      <c r="S40" s="668">
        <f t="shared" si="10"/>
        <v>100</v>
      </c>
      <c r="T40" s="667" t="s">
        <v>14</v>
      </c>
      <c r="U40" s="668">
        <f t="shared" si="11"/>
        <v>100</v>
      </c>
      <c r="V40" s="667" t="s">
        <v>14</v>
      </c>
      <c r="W40" s="668">
        <f t="shared" si="12"/>
        <v>100</v>
      </c>
      <c r="X40" s="1265"/>
      <c r="Y40" s="357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79"/>
      <c r="Q41" s="1263" t="str">
        <f t="shared" si="14"/>
        <v>宗地开发程度</v>
      </c>
      <c r="R41" s="664" t="s">
        <v>14</v>
      </c>
      <c r="S41" s="665">
        <f t="shared" si="10"/>
        <v>100</v>
      </c>
      <c r="T41" s="664" t="s">
        <v>14</v>
      </c>
      <c r="U41" s="665">
        <f t="shared" si="11"/>
        <v>100</v>
      </c>
      <c r="V41" s="664" t="s">
        <v>14</v>
      </c>
      <c r="W41" s="665">
        <f t="shared" si="12"/>
        <v>100</v>
      </c>
      <c r="X41" s="666"/>
      <c r="Y41" s="357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79" t="s">
        <v>1696</v>
      </c>
      <c r="Q42" s="1263" t="str">
        <f t="shared" si="14"/>
        <v>工程地质条件</v>
      </c>
      <c r="R42" s="667" t="s">
        <v>14</v>
      </c>
      <c r="S42" s="668">
        <f t="shared" si="10"/>
        <v>100</v>
      </c>
      <c r="T42" s="667" t="s">
        <v>14</v>
      </c>
      <c r="U42" s="668">
        <f t="shared" si="11"/>
        <v>100</v>
      </c>
      <c r="V42" s="667" t="s">
        <v>14</v>
      </c>
      <c r="W42" s="668">
        <f t="shared" si="12"/>
        <v>100</v>
      </c>
      <c r="X42" s="1265"/>
      <c r="Y42" s="357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79"/>
      <c r="Q43" s="1263">
        <f t="shared" si="14"/>
        <v>111</v>
      </c>
      <c r="R43" s="667" t="s">
        <v>14</v>
      </c>
      <c r="S43" s="668">
        <f t="shared" si="10"/>
        <v>100</v>
      </c>
      <c r="T43" s="667" t="s">
        <v>14</v>
      </c>
      <c r="U43" s="668">
        <f t="shared" si="11"/>
        <v>100</v>
      </c>
      <c r="V43" s="667" t="s">
        <v>14</v>
      </c>
      <c r="W43" s="668">
        <f t="shared" si="12"/>
        <v>100</v>
      </c>
      <c r="X43" s="1265"/>
      <c r="Y43" s="35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79"/>
      <c r="Q44" s="1263">
        <f t="shared" si="14"/>
        <v>111</v>
      </c>
      <c r="R44" s="667" t="s">
        <v>14</v>
      </c>
      <c r="S44" s="668">
        <f t="shared" si="10"/>
        <v>100</v>
      </c>
      <c r="T44" s="667" t="s">
        <v>14</v>
      </c>
      <c r="U44" s="668">
        <f t="shared" si="11"/>
        <v>100</v>
      </c>
      <c r="V44" s="667" t="s">
        <v>14</v>
      </c>
      <c r="W44" s="668">
        <f t="shared" si="12"/>
        <v>100</v>
      </c>
      <c r="X44" s="1265"/>
      <c r="Y44" s="357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79"/>
      <c r="Q45" s="1263">
        <f t="shared" si="14"/>
        <v>111</v>
      </c>
      <c r="R45" s="669" t="s">
        <v>14</v>
      </c>
      <c r="S45" s="670">
        <f t="shared" si="10"/>
        <v>100</v>
      </c>
      <c r="T45" s="669" t="s">
        <v>14</v>
      </c>
      <c r="U45" s="670">
        <f t="shared" si="11"/>
        <v>100</v>
      </c>
      <c r="V45" s="669" t="s">
        <v>14</v>
      </c>
      <c r="W45" s="670">
        <f t="shared" si="12"/>
        <v>100</v>
      </c>
      <c r="X45" s="671"/>
      <c r="Y45" s="357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73" t="str">
        <f>A46</f>
        <v>成交单价</v>
      </c>
      <c r="Q46" s="3573"/>
      <c r="R46" s="3568">
        <f>E46</f>
        <v>0</v>
      </c>
      <c r="S46" s="3568"/>
      <c r="T46" s="3568">
        <f>G46</f>
        <v>0</v>
      </c>
      <c r="U46" s="3568"/>
      <c r="V46" s="3568">
        <f>I46</f>
        <v>0</v>
      </c>
      <c r="W46" s="356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73" t="str">
        <f>A47</f>
        <v>比较价值（元/平方米）</v>
      </c>
      <c r="Q47" s="3573"/>
      <c r="R47" s="3620" t="e">
        <f>ROUND(PRODUCT(R46,AA7:AA45),0)</f>
        <v>#DIV/0!</v>
      </c>
      <c r="S47" s="3620"/>
      <c r="T47" s="3620" t="e">
        <f>ROUND(PRODUCT(T46,AB7:AB45),0)</f>
        <v>#DIV/0!</v>
      </c>
      <c r="U47" s="3620"/>
      <c r="V47" s="3620" t="e">
        <f>ROUND(PRODUCT(V46,AC7:AC45),0)</f>
        <v>#DIV/0!</v>
      </c>
      <c r="W47" s="362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70" t="str">
        <f>A48</f>
        <v>估价对象XX用房的比较价值（楼面单价，元/平方米）</v>
      </c>
      <c r="Q48" s="3571"/>
      <c r="R48" s="3621" t="e">
        <f>ROUND(IF(D47="简单平均",AVERAGE(R47:W47),R47*F47+T47*H47+V47*J47),0)</f>
        <v>#DIV/0!</v>
      </c>
      <c r="S48" s="3621"/>
      <c r="T48" s="3621"/>
      <c r="U48" s="3621"/>
      <c r="V48" s="3621"/>
      <c r="W48" s="362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56" t="s">
        <v>1887</v>
      </c>
      <c r="H55" s="362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55"/>
      <c r="H56" s="357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43" t="s">
        <v>1771</v>
      </c>
      <c r="S4" s="3544"/>
      <c r="T4" s="3543" t="s">
        <v>1772</v>
      </c>
      <c r="U4" s="3544"/>
      <c r="V4" s="3568" t="s">
        <v>1773</v>
      </c>
      <c r="W4" s="3568"/>
      <c r="X4" s="1265"/>
      <c r="Y4" s="3543" t="s">
        <v>1775</v>
      </c>
      <c r="Z4" s="3544"/>
      <c r="AA4" s="3538" t="s">
        <v>1771</v>
      </c>
      <c r="AB4" s="3539" t="s">
        <v>1772</v>
      </c>
      <c r="AC4" s="3538" t="s">
        <v>1773</v>
      </c>
    </row>
    <row r="5" spans="1:29" ht="15">
      <c r="A5" s="348"/>
      <c r="B5" s="349"/>
      <c r="C5" s="3549" t="s">
        <v>1673</v>
      </c>
      <c r="D5" s="3550"/>
      <c r="E5" s="3547" t="s">
        <v>1674</v>
      </c>
      <c r="F5" s="3548"/>
      <c r="G5" s="3549" t="s">
        <v>1675</v>
      </c>
      <c r="H5" s="3550"/>
      <c r="I5" s="3549" t="s">
        <v>1676</v>
      </c>
      <c r="J5" s="3550"/>
      <c r="K5" s="537"/>
      <c r="L5" s="2486"/>
      <c r="M5" s="2487"/>
      <c r="N5" s="2487"/>
      <c r="O5" s="2487"/>
      <c r="P5" s="3562"/>
      <c r="Q5" s="3563"/>
      <c r="R5" s="3545"/>
      <c r="S5" s="3546"/>
      <c r="T5" s="3545"/>
      <c r="U5" s="3546"/>
      <c r="V5" s="3568"/>
      <c r="W5" s="3568"/>
      <c r="X5" s="1265"/>
      <c r="Y5" s="3545"/>
      <c r="Z5" s="3546"/>
      <c r="AA5" s="3539"/>
      <c r="AB5" s="3539"/>
      <c r="AC5" s="3539"/>
    </row>
    <row r="6" spans="1:29" ht="15.75" thickBot="1">
      <c r="A6" s="350"/>
      <c r="B6" s="351"/>
      <c r="C6" s="3623" t="s">
        <v>1919</v>
      </c>
      <c r="D6" s="3624"/>
      <c r="E6" s="3625" t="s">
        <v>1919</v>
      </c>
      <c r="F6" s="3626"/>
      <c r="G6" s="3623" t="s">
        <v>1919</v>
      </c>
      <c r="H6" s="3624"/>
      <c r="I6" s="3623" t="s">
        <v>1919</v>
      </c>
      <c r="J6" s="3624"/>
      <c r="K6" s="537" t="s">
        <v>1678</v>
      </c>
      <c r="L6" s="2486"/>
      <c r="M6" s="2487"/>
      <c r="N6" s="2487"/>
      <c r="O6" s="2487"/>
      <c r="P6" s="3564"/>
      <c r="Q6" s="3565"/>
      <c r="R6" s="3545"/>
      <c r="S6" s="3546"/>
      <c r="T6" s="3566"/>
      <c r="U6" s="3567"/>
      <c r="V6" s="3568"/>
      <c r="W6" s="3568"/>
      <c r="X6" s="1265"/>
      <c r="Y6" s="3566"/>
      <c r="Z6" s="3567"/>
      <c r="AA6" s="3540"/>
      <c r="AB6" s="3540"/>
      <c r="AC6" s="3540"/>
    </row>
    <row r="7" spans="1:29" s="102" customFormat="1" ht="15.75" thickBot="1">
      <c r="A7" s="352" t="s">
        <v>1679</v>
      </c>
      <c r="B7" s="353"/>
      <c r="C7" s="354">
        <f>'数据-取费表'!B2</f>
        <v>45880</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41" t="s">
        <v>1680</v>
      </c>
      <c r="Q7" s="3569"/>
      <c r="R7" s="664" t="s">
        <v>14</v>
      </c>
      <c r="S7" s="665">
        <f t="shared" ref="S7:S15" si="0">F7</f>
        <v>0</v>
      </c>
      <c r="T7" s="664" t="s">
        <v>14</v>
      </c>
      <c r="U7" s="665">
        <f t="shared" ref="U7:U15" si="1">H7</f>
        <v>0</v>
      </c>
      <c r="V7" s="664" t="s">
        <v>14</v>
      </c>
      <c r="W7" s="665">
        <f t="shared" ref="W7:W15" si="2">J7</f>
        <v>0</v>
      </c>
      <c r="X7" s="666"/>
      <c r="Y7" s="3541" t="s">
        <v>1680</v>
      </c>
      <c r="Z7" s="354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41" t="s">
        <v>1683</v>
      </c>
      <c r="Q8" s="3542"/>
      <c r="R8" s="664" t="s">
        <v>14</v>
      </c>
      <c r="S8" s="665">
        <f t="shared" si="0"/>
        <v>0</v>
      </c>
      <c r="T8" s="664" t="s">
        <v>14</v>
      </c>
      <c r="U8" s="665">
        <f t="shared" si="1"/>
        <v>0</v>
      </c>
      <c r="V8" s="664" t="s">
        <v>14</v>
      </c>
      <c r="W8" s="665">
        <f t="shared" si="2"/>
        <v>0</v>
      </c>
      <c r="X8" s="666"/>
      <c r="Y8" s="3541" t="s">
        <v>1683</v>
      </c>
      <c r="Z8" s="354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73" t="s">
        <v>1686</v>
      </c>
      <c r="Q9" s="530" t="str">
        <f t="shared" ref="Q9:Q15" si="6">B9</f>
        <v>用途</v>
      </c>
      <c r="R9" s="664" t="s">
        <v>14</v>
      </c>
      <c r="S9" s="665">
        <f t="shared" si="0"/>
        <v>100</v>
      </c>
      <c r="T9" s="664" t="s">
        <v>14</v>
      </c>
      <c r="U9" s="665">
        <f t="shared" si="1"/>
        <v>100</v>
      </c>
      <c r="V9" s="664" t="s">
        <v>14</v>
      </c>
      <c r="W9" s="665">
        <f t="shared" si="2"/>
        <v>100</v>
      </c>
      <c r="X9" s="666"/>
      <c r="Y9" s="34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73"/>
      <c r="Q10" s="530" t="str">
        <f t="shared" si="6"/>
        <v>土地使用年限（年）</v>
      </c>
      <c r="R10" s="664" t="s">
        <v>14</v>
      </c>
      <c r="S10" s="665">
        <f t="shared" si="0"/>
        <v>100</v>
      </c>
      <c r="T10" s="664" t="s">
        <v>14</v>
      </c>
      <c r="U10" s="665">
        <f t="shared" si="1"/>
        <v>100</v>
      </c>
      <c r="V10" s="664" t="s">
        <v>14</v>
      </c>
      <c r="W10" s="665">
        <f t="shared" si="2"/>
        <v>100</v>
      </c>
      <c r="X10" s="666"/>
      <c r="Y10" s="344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73"/>
      <c r="Q11" s="530" t="str">
        <f t="shared" si="6"/>
        <v>容积率</v>
      </c>
      <c r="R11" s="664" t="s">
        <v>14</v>
      </c>
      <c r="S11" s="665" t="e">
        <f t="shared" si="0"/>
        <v>#N/A</v>
      </c>
      <c r="T11" s="664" t="s">
        <v>14</v>
      </c>
      <c r="U11" s="665" t="e">
        <f t="shared" si="1"/>
        <v>#N/A</v>
      </c>
      <c r="V11" s="664" t="s">
        <v>14</v>
      </c>
      <c r="W11" s="665" t="e">
        <f t="shared" si="2"/>
        <v>#N/A</v>
      </c>
      <c r="X11" s="666"/>
      <c r="Y11" s="34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73"/>
      <c r="Q12" s="530">
        <f t="shared" si="6"/>
        <v>111</v>
      </c>
      <c r="R12" s="664" t="s">
        <v>14</v>
      </c>
      <c r="S12" s="665">
        <f t="shared" si="0"/>
        <v>100</v>
      </c>
      <c r="T12" s="664" t="s">
        <v>14</v>
      </c>
      <c r="U12" s="665">
        <f t="shared" si="1"/>
        <v>100</v>
      </c>
      <c r="V12" s="664" t="s">
        <v>14</v>
      </c>
      <c r="W12" s="665">
        <f t="shared" si="2"/>
        <v>100</v>
      </c>
      <c r="X12" s="666"/>
      <c r="Y12" s="34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73"/>
      <c r="Q13" s="530">
        <f t="shared" si="6"/>
        <v>111</v>
      </c>
      <c r="R13" s="664" t="s">
        <v>14</v>
      </c>
      <c r="S13" s="665">
        <f t="shared" si="0"/>
        <v>100</v>
      </c>
      <c r="T13" s="664" t="s">
        <v>14</v>
      </c>
      <c r="U13" s="665">
        <f t="shared" si="1"/>
        <v>100</v>
      </c>
      <c r="V13" s="664" t="s">
        <v>14</v>
      </c>
      <c r="W13" s="665">
        <f t="shared" si="2"/>
        <v>100</v>
      </c>
      <c r="X13" s="666"/>
      <c r="Y13" s="34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73"/>
      <c r="Q14" s="530">
        <f t="shared" si="6"/>
        <v>111</v>
      </c>
      <c r="R14" s="664" t="s">
        <v>14</v>
      </c>
      <c r="S14" s="665">
        <f t="shared" si="0"/>
        <v>100</v>
      </c>
      <c r="T14" s="664" t="s">
        <v>14</v>
      </c>
      <c r="U14" s="665">
        <f t="shared" si="1"/>
        <v>100</v>
      </c>
      <c r="V14" s="664" t="s">
        <v>14</v>
      </c>
      <c r="W14" s="665">
        <f t="shared" si="2"/>
        <v>100</v>
      </c>
      <c r="X14" s="666"/>
      <c r="Y14" s="34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74" t="s">
        <v>1691</v>
      </c>
      <c r="Q15" s="1263" t="str">
        <f t="shared" si="6"/>
        <v>产业集聚程度</v>
      </c>
      <c r="R15" s="667" t="s">
        <v>14</v>
      </c>
      <c r="S15" s="668">
        <f t="shared" si="0"/>
        <v>100</v>
      </c>
      <c r="T15" s="667" t="s">
        <v>14</v>
      </c>
      <c r="U15" s="668">
        <f t="shared" si="1"/>
        <v>100</v>
      </c>
      <c r="V15" s="667" t="s">
        <v>14</v>
      </c>
      <c r="W15" s="668">
        <f t="shared" si="2"/>
        <v>100</v>
      </c>
      <c r="X15" s="1265"/>
      <c r="Y15" s="357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75"/>
      <c r="Q16" s="1263"/>
      <c r="R16" s="667"/>
      <c r="S16" s="668"/>
      <c r="T16" s="667"/>
      <c r="U16" s="668"/>
      <c r="V16" s="667"/>
      <c r="W16" s="668"/>
      <c r="X16" s="1265"/>
      <c r="Y16" s="357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75"/>
      <c r="Q17" s="1263" t="str">
        <f>B17</f>
        <v>交通便捷度</v>
      </c>
      <c r="R17" s="667" t="s">
        <v>14</v>
      </c>
      <c r="S17" s="668">
        <f>F17</f>
        <v>100</v>
      </c>
      <c r="T17" s="667" t="s">
        <v>14</v>
      </c>
      <c r="U17" s="668">
        <f>H17</f>
        <v>100</v>
      </c>
      <c r="V17" s="667" t="s">
        <v>14</v>
      </c>
      <c r="W17" s="668">
        <f>J17</f>
        <v>100</v>
      </c>
      <c r="X17" s="1265"/>
      <c r="Y17" s="357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75"/>
      <c r="Q18" s="1263"/>
      <c r="R18" s="667"/>
      <c r="S18" s="668"/>
      <c r="T18" s="667"/>
      <c r="U18" s="668"/>
      <c r="V18" s="667"/>
      <c r="W18" s="668"/>
      <c r="X18" s="1265"/>
      <c r="Y18" s="357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75"/>
      <c r="Q19" s="1263" t="str">
        <f t="shared" ref="Q19:Q33" si="8">B19</f>
        <v>区域土地利用方向</v>
      </c>
      <c r="R19" s="667" t="s">
        <v>14</v>
      </c>
      <c r="S19" s="668">
        <f>F19</f>
        <v>100</v>
      </c>
      <c r="T19" s="667" t="s">
        <v>14</v>
      </c>
      <c r="U19" s="668">
        <f>H19</f>
        <v>100</v>
      </c>
      <c r="V19" s="667" t="s">
        <v>14</v>
      </c>
      <c r="W19" s="668">
        <f>J19</f>
        <v>100</v>
      </c>
      <c r="X19" s="1265"/>
      <c r="Y19" s="357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75"/>
      <c r="Q20" s="1263"/>
      <c r="R20" s="667"/>
      <c r="S20" s="668"/>
      <c r="T20" s="667"/>
      <c r="U20" s="668"/>
      <c r="V20" s="667"/>
      <c r="W20" s="668"/>
      <c r="X20" s="1265"/>
      <c r="Y20" s="357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75"/>
      <c r="Q21" s="1263" t="str">
        <f t="shared" si="8"/>
        <v>环境状况</v>
      </c>
      <c r="R21" s="667" t="s">
        <v>14</v>
      </c>
      <c r="S21" s="668">
        <f>F21</f>
        <v>100</v>
      </c>
      <c r="T21" s="667" t="s">
        <v>14</v>
      </c>
      <c r="U21" s="668">
        <f>H21</f>
        <v>100</v>
      </c>
      <c r="V21" s="667" t="s">
        <v>14</v>
      </c>
      <c r="W21" s="668">
        <f>J21</f>
        <v>100</v>
      </c>
      <c r="X21" s="1265"/>
      <c r="Y21" s="357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75"/>
      <c r="Q22" s="1263"/>
      <c r="R22" s="667"/>
      <c r="S22" s="668"/>
      <c r="T22" s="667"/>
      <c r="U22" s="668"/>
      <c r="V22" s="667"/>
      <c r="W22" s="668"/>
      <c r="X22" s="1265"/>
      <c r="Y22" s="357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75"/>
      <c r="Q23" s="530" t="str">
        <f t="shared" si="8"/>
        <v>公共配套设施</v>
      </c>
      <c r="R23" s="664" t="s">
        <v>14</v>
      </c>
      <c r="S23" s="665">
        <f>F23</f>
        <v>100</v>
      </c>
      <c r="T23" s="664" t="s">
        <v>14</v>
      </c>
      <c r="U23" s="665">
        <f>H23</f>
        <v>100</v>
      </c>
      <c r="V23" s="664" t="s">
        <v>14</v>
      </c>
      <c r="W23" s="665">
        <f>J23</f>
        <v>100</v>
      </c>
      <c r="X23" s="666"/>
      <c r="Y23" s="357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75"/>
      <c r="Q24" s="530"/>
      <c r="R24" s="664"/>
      <c r="S24" s="665"/>
      <c r="T24" s="664"/>
      <c r="U24" s="665"/>
      <c r="V24" s="664"/>
      <c r="W24" s="665"/>
      <c r="X24" s="666"/>
      <c r="Y24" s="357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75"/>
      <c r="Q25" s="530" t="str">
        <f t="shared" ref="Q25" si="9">B25</f>
        <v>基础设施水平</v>
      </c>
      <c r="R25" s="664" t="s">
        <v>14</v>
      </c>
      <c r="S25" s="665">
        <f>F25</f>
        <v>100</v>
      </c>
      <c r="T25" s="664" t="s">
        <v>14</v>
      </c>
      <c r="U25" s="665">
        <f>H25</f>
        <v>100</v>
      </c>
      <c r="V25" s="664" t="s">
        <v>14</v>
      </c>
      <c r="W25" s="665">
        <f>J25</f>
        <v>100</v>
      </c>
      <c r="X25" s="666"/>
      <c r="Y25" s="357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75"/>
      <c r="Q26" s="530"/>
      <c r="R26" s="664"/>
      <c r="S26" s="665"/>
      <c r="T26" s="664"/>
      <c r="U26" s="665"/>
      <c r="V26" s="664"/>
      <c r="W26" s="665"/>
      <c r="X26" s="666"/>
      <c r="Y26" s="35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7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7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75"/>
      <c r="Q28" s="1263" t="str">
        <f t="shared" si="8"/>
        <v>毗邻道路的类型与等级</v>
      </c>
      <c r="R28" s="667" t="s">
        <v>14</v>
      </c>
      <c r="S28" s="668">
        <f t="shared" si="10"/>
        <v>100</v>
      </c>
      <c r="T28" s="667" t="s">
        <v>14</v>
      </c>
      <c r="U28" s="668">
        <f t="shared" si="11"/>
        <v>100</v>
      </c>
      <c r="V28" s="667" t="s">
        <v>14</v>
      </c>
      <c r="W28" s="668">
        <f t="shared" si="12"/>
        <v>100</v>
      </c>
      <c r="X28" s="1265"/>
      <c r="Y28" s="357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75"/>
      <c r="Q29" s="1263"/>
      <c r="R29" s="667"/>
      <c r="S29" s="668"/>
      <c r="T29" s="667"/>
      <c r="U29" s="668"/>
      <c r="V29" s="667"/>
      <c r="W29" s="668"/>
      <c r="X29" s="1265"/>
      <c r="Y29" s="357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75"/>
      <c r="Q30" s="1263" t="str">
        <f t="shared" si="8"/>
        <v>土地级别</v>
      </c>
      <c r="R30" s="667" t="s">
        <v>14</v>
      </c>
      <c r="S30" s="668">
        <f t="shared" si="10"/>
        <v>100</v>
      </c>
      <c r="T30" s="667" t="s">
        <v>14</v>
      </c>
      <c r="U30" s="668">
        <f t="shared" si="11"/>
        <v>100</v>
      </c>
      <c r="V30" s="667" t="s">
        <v>14</v>
      </c>
      <c r="W30" s="668">
        <f t="shared" si="12"/>
        <v>100</v>
      </c>
      <c r="X30" s="1265"/>
      <c r="Y30" s="357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75"/>
      <c r="Q31" s="1263">
        <f t="shared" si="8"/>
        <v>111</v>
      </c>
      <c r="R31" s="667" t="s">
        <v>14</v>
      </c>
      <c r="S31" s="668">
        <f t="shared" si="10"/>
        <v>100</v>
      </c>
      <c r="T31" s="667" t="s">
        <v>14</v>
      </c>
      <c r="U31" s="668">
        <f t="shared" si="11"/>
        <v>100</v>
      </c>
      <c r="V31" s="667" t="s">
        <v>14</v>
      </c>
      <c r="W31" s="668">
        <f t="shared" si="12"/>
        <v>100</v>
      </c>
      <c r="X31" s="1265"/>
      <c r="Y31" s="357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18" t="s">
        <v>1696</v>
      </c>
      <c r="Q32" s="1263">
        <f t="shared" si="8"/>
        <v>111</v>
      </c>
      <c r="R32" s="667" t="s">
        <v>14</v>
      </c>
      <c r="S32" s="668">
        <f t="shared" si="10"/>
        <v>100</v>
      </c>
      <c r="T32" s="667" t="s">
        <v>14</v>
      </c>
      <c r="U32" s="668">
        <f t="shared" si="11"/>
        <v>100</v>
      </c>
      <c r="V32" s="667" t="s">
        <v>14</v>
      </c>
      <c r="W32" s="668">
        <f t="shared" si="12"/>
        <v>100</v>
      </c>
      <c r="X32" s="1265"/>
      <c r="Y32" s="357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79"/>
      <c r="Q33" s="1263">
        <f t="shared" si="8"/>
        <v>111</v>
      </c>
      <c r="R33" s="669" t="s">
        <v>14</v>
      </c>
      <c r="S33" s="670">
        <f t="shared" si="10"/>
        <v>100</v>
      </c>
      <c r="T33" s="669" t="s">
        <v>14</v>
      </c>
      <c r="U33" s="670">
        <f t="shared" si="11"/>
        <v>100</v>
      </c>
      <c r="V33" s="669" t="s">
        <v>14</v>
      </c>
      <c r="W33" s="670">
        <f t="shared" si="12"/>
        <v>100</v>
      </c>
      <c r="X33" s="671"/>
      <c r="Y33" s="357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79"/>
      <c r="Q34" s="1263" t="str">
        <f>B34</f>
        <v>宗地面积</v>
      </c>
      <c r="R34" s="667" t="s">
        <v>14</v>
      </c>
      <c r="S34" s="668" t="e">
        <f t="shared" si="10"/>
        <v>#N/A</v>
      </c>
      <c r="T34" s="667" t="s">
        <v>14</v>
      </c>
      <c r="U34" s="668" t="e">
        <f t="shared" si="11"/>
        <v>#N/A</v>
      </c>
      <c r="V34" s="667" t="s">
        <v>14</v>
      </c>
      <c r="W34" s="668" t="e">
        <f t="shared" si="12"/>
        <v>#N/A</v>
      </c>
      <c r="X34" s="1265"/>
      <c r="Y34" s="357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79"/>
      <c r="Q35" s="1263" t="str">
        <f t="shared" ref="Q35:Q40" si="14">B35</f>
        <v>宗地形状</v>
      </c>
      <c r="R35" s="667" t="s">
        <v>14</v>
      </c>
      <c r="S35" s="668">
        <f t="shared" si="10"/>
        <v>100</v>
      </c>
      <c r="T35" s="667" t="s">
        <v>14</v>
      </c>
      <c r="U35" s="668">
        <f t="shared" si="11"/>
        <v>100</v>
      </c>
      <c r="V35" s="667" t="s">
        <v>14</v>
      </c>
      <c r="W35" s="668">
        <f t="shared" si="12"/>
        <v>100</v>
      </c>
      <c r="X35" s="1265"/>
      <c r="Y35" s="357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79"/>
      <c r="Q36" s="1263" t="str">
        <f t="shared" si="14"/>
        <v>宗地开发程度</v>
      </c>
      <c r="R36" s="664" t="s">
        <v>14</v>
      </c>
      <c r="S36" s="665">
        <f t="shared" si="10"/>
        <v>100</v>
      </c>
      <c r="T36" s="664" t="s">
        <v>14</v>
      </c>
      <c r="U36" s="665">
        <f t="shared" si="11"/>
        <v>100</v>
      </c>
      <c r="V36" s="664" t="s">
        <v>14</v>
      </c>
      <c r="W36" s="665">
        <f t="shared" si="12"/>
        <v>100</v>
      </c>
      <c r="X36" s="666"/>
      <c r="Y36" s="357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79" t="s">
        <v>1696</v>
      </c>
      <c r="Q37" s="1263" t="str">
        <f t="shared" si="14"/>
        <v>工程地质条件</v>
      </c>
      <c r="R37" s="667" t="s">
        <v>14</v>
      </c>
      <c r="S37" s="668">
        <f t="shared" si="10"/>
        <v>100</v>
      </c>
      <c r="T37" s="667" t="s">
        <v>14</v>
      </c>
      <c r="U37" s="668">
        <f t="shared" si="11"/>
        <v>100</v>
      </c>
      <c r="V37" s="667" t="s">
        <v>14</v>
      </c>
      <c r="W37" s="668">
        <f t="shared" si="12"/>
        <v>100</v>
      </c>
      <c r="X37" s="1265"/>
      <c r="Y37" s="357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79"/>
      <c r="Q38" s="1263">
        <f t="shared" si="14"/>
        <v>111</v>
      </c>
      <c r="R38" s="667" t="s">
        <v>14</v>
      </c>
      <c r="S38" s="668">
        <f t="shared" si="10"/>
        <v>100</v>
      </c>
      <c r="T38" s="667" t="s">
        <v>14</v>
      </c>
      <c r="U38" s="668">
        <f t="shared" si="11"/>
        <v>100</v>
      </c>
      <c r="V38" s="667" t="s">
        <v>14</v>
      </c>
      <c r="W38" s="668">
        <f t="shared" si="12"/>
        <v>100</v>
      </c>
      <c r="X38" s="1265"/>
      <c r="Y38" s="35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79"/>
      <c r="Q39" s="1263">
        <f t="shared" si="14"/>
        <v>111</v>
      </c>
      <c r="R39" s="667" t="s">
        <v>14</v>
      </c>
      <c r="S39" s="668">
        <f t="shared" si="10"/>
        <v>100</v>
      </c>
      <c r="T39" s="667" t="s">
        <v>14</v>
      </c>
      <c r="U39" s="668">
        <f t="shared" si="11"/>
        <v>100</v>
      </c>
      <c r="V39" s="667" t="s">
        <v>14</v>
      </c>
      <c r="W39" s="668">
        <f t="shared" si="12"/>
        <v>100</v>
      </c>
      <c r="X39" s="1265"/>
      <c r="Y39" s="357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79"/>
      <c r="Q40" s="1263">
        <f t="shared" si="14"/>
        <v>111</v>
      </c>
      <c r="R40" s="669" t="s">
        <v>14</v>
      </c>
      <c r="S40" s="670">
        <f t="shared" si="10"/>
        <v>100</v>
      </c>
      <c r="T40" s="669" t="s">
        <v>14</v>
      </c>
      <c r="U40" s="670">
        <f t="shared" si="11"/>
        <v>100</v>
      </c>
      <c r="V40" s="669" t="s">
        <v>14</v>
      </c>
      <c r="W40" s="670">
        <f t="shared" si="12"/>
        <v>100</v>
      </c>
      <c r="X40" s="671"/>
      <c r="Y40" s="357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73" t="str">
        <f>A41</f>
        <v>成交单价</v>
      </c>
      <c r="Q41" s="3573"/>
      <c r="R41" s="3568">
        <f>E41</f>
        <v>0</v>
      </c>
      <c r="S41" s="3568"/>
      <c r="T41" s="3568">
        <f>G41</f>
        <v>0</v>
      </c>
      <c r="U41" s="3568"/>
      <c r="V41" s="3568">
        <f>I41</f>
        <v>0</v>
      </c>
      <c r="W41" s="356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73" t="str">
        <f>A42</f>
        <v>比较价值（元/平方米）</v>
      </c>
      <c r="Q42" s="3573"/>
      <c r="R42" s="3620" t="e">
        <f>ROUND(PRODUCT(R41,AA7:AA40),0)</f>
        <v>#DIV/0!</v>
      </c>
      <c r="S42" s="3620"/>
      <c r="T42" s="3620" t="e">
        <f>ROUND(PRODUCT(T41,AB7:AB40),0)</f>
        <v>#DIV/0!</v>
      </c>
      <c r="U42" s="3620"/>
      <c r="V42" s="3620" t="e">
        <f>ROUND(PRODUCT(V41,AC7:AC40),0)</f>
        <v>#DIV/0!</v>
      </c>
      <c r="W42" s="362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70" t="str">
        <f>A43</f>
        <v>估价对象XX用房的比较价值（楼面单价，元/平方米）</v>
      </c>
      <c r="Q43" s="3571"/>
      <c r="R43" s="3621" t="e">
        <f>ROUND(IF(D42="简单平均",AVERAGE(R42:W42),R42*F42+T42*H42+V42*J42),0)</f>
        <v>#DIV/0!</v>
      </c>
      <c r="S43" s="3621"/>
      <c r="T43" s="3621"/>
      <c r="U43" s="3621"/>
      <c r="V43" s="3621"/>
      <c r="W43" s="362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56" t="s">
        <v>1887</v>
      </c>
      <c r="H50" s="362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55"/>
      <c r="H51" s="357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30" t="s">
        <v>2084</v>
      </c>
      <c r="D1" s="3631"/>
      <c r="E1" s="3631"/>
      <c r="F1" s="3631"/>
      <c r="G1" s="3631"/>
      <c r="H1" s="3631"/>
      <c r="I1" s="3631"/>
      <c r="J1" s="3631"/>
      <c r="K1" s="3631"/>
      <c r="L1" s="3631"/>
      <c r="M1" s="3631"/>
      <c r="N1" s="3631"/>
      <c r="O1" s="3631"/>
      <c r="P1" s="3631"/>
      <c r="Q1" s="3631"/>
      <c r="R1" s="3631"/>
      <c r="S1" s="363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27" t="s">
        <v>27</v>
      </c>
      <c r="D22" s="3628"/>
      <c r="E22" s="3628"/>
      <c r="F22" s="3628"/>
      <c r="G22" s="3628"/>
      <c r="H22" s="3628"/>
      <c r="I22" s="3628"/>
      <c r="J22" s="3628"/>
      <c r="K22" s="3628"/>
      <c r="L22" s="3628"/>
      <c r="M22" s="3628"/>
      <c r="N22" s="3628"/>
      <c r="O22" s="3628"/>
      <c r="P22" s="3628"/>
      <c r="Q22" s="362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1"/>
      <c r="C2" s="3291"/>
      <c r="D2" s="3291"/>
      <c r="E2" s="3291"/>
    </row>
    <row r="3" spans="1:5" ht="18">
      <c r="A3" s="3292" t="str">
        <f>IF(项目基本情况!B9="房地产市场价值","估价结果一览表（市场价值不需“结果表-1”）","估价结果一览表")</f>
        <v>估价结果一览表（市场价值不需“结果表-1”）</v>
      </c>
      <c r="B3" s="3292"/>
      <c r="C3" s="3292"/>
      <c r="D3" s="3292"/>
      <c r="E3" s="3292"/>
    </row>
    <row r="4" spans="1:5" ht="19.5" thickBot="1">
      <c r="A4" s="1391"/>
      <c r="B4" s="3290" t="s">
        <v>917</v>
      </c>
      <c r="C4" s="3290"/>
      <c r="D4" s="3290"/>
      <c r="E4" s="1391"/>
    </row>
    <row r="5" spans="1:5" ht="16.5" thickTop="1">
      <c r="B5" s="3288" t="s">
        <v>909</v>
      </c>
      <c r="C5" s="1392" t="s">
        <v>910</v>
      </c>
      <c r="D5" s="797" t="e">
        <f ca="1">结果表!H101</f>
        <v>#REF!</v>
      </c>
    </row>
    <row r="6" spans="1:5" ht="15.75">
      <c r="B6" s="3288"/>
      <c r="C6" s="1392" t="s">
        <v>911</v>
      </c>
      <c r="D6" s="797" t="e">
        <f ca="1">NUMBERSTRING(INT(D5*10000),2)&amp;"元整"</f>
        <v>#REF!</v>
      </c>
    </row>
    <row r="7" spans="1:5" ht="15.75">
      <c r="B7" s="3293"/>
      <c r="C7" s="1393" t="s">
        <v>912</v>
      </c>
      <c r="D7" s="798" t="e">
        <f ca="1">结果表!H102</f>
        <v>#REF!</v>
      </c>
    </row>
    <row r="8" spans="1:5" ht="15.75">
      <c r="B8" s="3294" t="str">
        <f>结果表!E103</f>
        <v>2.估价师知悉的法定优先受偿款</v>
      </c>
      <c r="C8" s="1394" t="s">
        <v>913</v>
      </c>
      <c r="D8" s="798">
        <f>结果表!H103</f>
        <v>0</v>
      </c>
    </row>
    <row r="9" spans="1:5" ht="15.75">
      <c r="B9" s="32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87" t="str">
        <f>结果表!E107</f>
        <v>3.房地产抵押价值</v>
      </c>
      <c r="C13" s="1397" t="s">
        <v>910</v>
      </c>
      <c r="D13" s="800" t="e">
        <f ca="1">结果表!H107</f>
        <v>#REF!</v>
      </c>
    </row>
    <row r="14" spans="1:5" ht="15.75">
      <c r="B14" s="3288"/>
      <c r="C14" s="1392" t="s">
        <v>911</v>
      </c>
      <c r="D14" s="797" t="e">
        <f ca="1">NUMBERSTRING(INT(D13*10000),2)&amp;"元整"</f>
        <v>#REF!</v>
      </c>
    </row>
    <row r="15" spans="1:5" ht="15">
      <c r="B15" s="3293"/>
      <c r="C15" s="1393" t="s">
        <v>921</v>
      </c>
      <c r="D15" s="806" t="e">
        <f ca="1">结果表!H108</f>
        <v>#REF!</v>
      </c>
    </row>
    <row r="16" spans="1:5" ht="15">
      <c r="B16" s="3294" t="str">
        <f>结果表!E109</f>
        <v>——</v>
      </c>
      <c r="C16" s="1397" t="s">
        <v>922</v>
      </c>
      <c r="D16" s="1398" t="str">
        <f>结果表!H109</f>
        <v>——</v>
      </c>
    </row>
    <row r="17" spans="1:5" ht="15.75">
      <c r="B17" s="3295"/>
      <c r="C17" s="1392" t="s">
        <v>923</v>
      </c>
      <c r="D17" s="797" t="e">
        <f>NUMBERSTRING(INT(D16*10000),2)&amp;"元整"</f>
        <v>#VALUE!</v>
      </c>
    </row>
    <row r="18" spans="1:5" ht="15">
      <c r="B18" s="3296"/>
      <c r="C18" s="1393" t="s">
        <v>912</v>
      </c>
      <c r="D18" s="806" t="str">
        <f>结果表!H110</f>
        <v>——</v>
      </c>
    </row>
    <row r="19" spans="1:5" ht="15.75">
      <c r="B19" s="3287" t="str">
        <f>结果表!E111</f>
        <v>——</v>
      </c>
      <c r="C19" s="1397" t="s">
        <v>910</v>
      </c>
      <c r="D19" s="798" t="str">
        <f>结果表!H111</f>
        <v>——</v>
      </c>
    </row>
    <row r="20" spans="1:5" ht="15.75">
      <c r="B20" s="3288"/>
      <c r="C20" s="1392" t="s">
        <v>923</v>
      </c>
      <c r="D20" s="797" t="e">
        <f>NUMBERSTRING(INT(D19*10000),2)&amp;"元整"</f>
        <v>#VALUE!</v>
      </c>
    </row>
    <row r="21" spans="1:5" ht="15.75" thickBot="1">
      <c r="B21" s="328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40" t="s">
        <v>2605</v>
      </c>
      <c r="B20" s="3633" t="s">
        <v>2626</v>
      </c>
      <c r="C20" s="2842" t="s">
        <v>2437</v>
      </c>
      <c r="D20" s="2843"/>
      <c r="E20" s="2844">
        <v>1</v>
      </c>
      <c r="F20" s="2845" t="s">
        <v>2438</v>
      </c>
      <c r="G20" s="2845"/>
    </row>
    <row r="21" spans="1:13" ht="19.5" customHeight="1">
      <c r="A21" s="3641"/>
      <c r="B21" s="3634"/>
      <c r="C21" s="2846" t="s">
        <v>2439</v>
      </c>
      <c r="D21" s="2847"/>
      <c r="E21" s="2848">
        <v>1</v>
      </c>
      <c r="F21" s="2845" t="s">
        <v>2440</v>
      </c>
      <c r="G21" s="2845"/>
    </row>
    <row r="22" spans="1:13" ht="19.5" customHeight="1">
      <c r="A22" s="3641"/>
      <c r="B22" s="3634"/>
      <c r="C22" s="2846" t="s">
        <v>2441</v>
      </c>
      <c r="D22" s="2847"/>
      <c r="E22" s="2848">
        <v>0.9</v>
      </c>
      <c r="F22" s="2845" t="s">
        <v>2442</v>
      </c>
      <c r="G22" s="2845"/>
    </row>
    <row r="23" spans="1:13" ht="19.5" customHeight="1">
      <c r="A23" s="3641"/>
      <c r="B23" s="3634"/>
      <c r="C23" s="2846" t="s">
        <v>2443</v>
      </c>
      <c r="D23" s="2847"/>
      <c r="E23" s="2848">
        <v>0.9</v>
      </c>
      <c r="F23" s="2845" t="s">
        <v>2444</v>
      </c>
      <c r="G23" s="2845"/>
    </row>
    <row r="24" spans="1:13" ht="19.5" customHeight="1">
      <c r="A24" s="3641"/>
      <c r="B24" s="3634"/>
      <c r="C24" s="2846" t="s">
        <v>2445</v>
      </c>
      <c r="D24" s="2847"/>
      <c r="E24" s="2848">
        <v>0.8</v>
      </c>
      <c r="F24" s="2845" t="s">
        <v>2446</v>
      </c>
      <c r="G24" s="2845"/>
    </row>
    <row r="25" spans="1:13" ht="19.5" customHeight="1" thickBot="1">
      <c r="A25" s="3642"/>
      <c r="B25" s="3635"/>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36" t="s">
        <v>2629</v>
      </c>
      <c r="B27" s="3633" t="s">
        <v>2610</v>
      </c>
      <c r="C27" s="2842" t="s">
        <v>2450</v>
      </c>
      <c r="D27" s="2843"/>
      <c r="E27" s="2844">
        <v>1</v>
      </c>
      <c r="F27" s="2845" t="s">
        <v>2451</v>
      </c>
      <c r="G27" s="2845"/>
    </row>
    <row r="28" spans="1:13" ht="19.5" customHeight="1">
      <c r="A28" s="3637"/>
      <c r="B28" s="3634"/>
      <c r="C28" s="2846" t="s">
        <v>2452</v>
      </c>
      <c r="D28" s="2847"/>
      <c r="E28" s="2848">
        <v>1</v>
      </c>
      <c r="F28" s="2845" t="s">
        <v>2453</v>
      </c>
      <c r="G28" s="2845"/>
    </row>
    <row r="29" spans="1:13" ht="19.5" customHeight="1">
      <c r="A29" s="3637"/>
      <c r="B29" s="3634"/>
      <c r="C29" s="2846" t="s">
        <v>2454</v>
      </c>
      <c r="D29" s="2847"/>
      <c r="E29" s="2848">
        <v>0.8</v>
      </c>
      <c r="F29" s="2845" t="s">
        <v>2455</v>
      </c>
      <c r="G29" s="2845"/>
    </row>
    <row r="30" spans="1:13" ht="19.5" customHeight="1">
      <c r="A30" s="3637"/>
      <c r="B30" s="3634"/>
      <c r="C30" s="2846" t="s">
        <v>2456</v>
      </c>
      <c r="D30" s="2847"/>
      <c r="E30" s="2848">
        <v>0.8</v>
      </c>
      <c r="F30" s="2845" t="s">
        <v>2457</v>
      </c>
      <c r="G30" s="2845"/>
    </row>
    <row r="31" spans="1:13" ht="19.5" customHeight="1">
      <c r="A31" s="3637"/>
      <c r="B31" s="3634"/>
      <c r="C31" s="2846" t="s">
        <v>2458</v>
      </c>
      <c r="D31" s="2847"/>
      <c r="E31" s="2848">
        <v>0.8</v>
      </c>
      <c r="F31" s="2845" t="s">
        <v>2459</v>
      </c>
      <c r="G31" s="2845"/>
    </row>
    <row r="32" spans="1:13" ht="19.5" customHeight="1">
      <c r="A32" s="3637"/>
      <c r="B32" s="3634"/>
      <c r="C32" s="2846" t="s">
        <v>2460</v>
      </c>
      <c r="D32" s="2847"/>
      <c r="E32" s="2848">
        <v>0.7</v>
      </c>
      <c r="F32" s="2845" t="s">
        <v>2461</v>
      </c>
      <c r="G32" s="2845"/>
    </row>
    <row r="33" spans="1:7" ht="19.5" customHeight="1">
      <c r="A33" s="3637"/>
      <c r="B33" s="3634"/>
      <c r="C33" s="2846" t="s">
        <v>2462</v>
      </c>
      <c r="D33" s="2847"/>
      <c r="E33" s="2848">
        <v>0.8</v>
      </c>
      <c r="F33" s="2845" t="s">
        <v>2463</v>
      </c>
      <c r="G33" s="2845"/>
    </row>
    <row r="34" spans="1:7" ht="19.5" customHeight="1">
      <c r="A34" s="3637"/>
      <c r="B34" s="3634"/>
      <c r="C34" s="2846" t="s">
        <v>2464</v>
      </c>
      <c r="D34" s="2847"/>
      <c r="E34" s="2848">
        <v>0.6</v>
      </c>
      <c r="F34" s="2845" t="s">
        <v>2465</v>
      </c>
      <c r="G34" s="2845"/>
    </row>
    <row r="35" spans="1:7" ht="19.5" customHeight="1">
      <c r="A35" s="3637"/>
      <c r="B35" s="3634"/>
      <c r="C35" s="2846" t="s">
        <v>2466</v>
      </c>
      <c r="D35" s="2847"/>
      <c r="E35" s="2848">
        <v>0.2</v>
      </c>
      <c r="F35" s="2845" t="s">
        <v>2467</v>
      </c>
      <c r="G35" s="2845"/>
    </row>
    <row r="36" spans="1:7" ht="19.5" customHeight="1">
      <c r="A36" s="3637"/>
      <c r="B36" s="3634"/>
      <c r="C36" s="2846" t="s">
        <v>2468</v>
      </c>
      <c r="D36" s="2847"/>
      <c r="E36" s="2848">
        <v>0.2</v>
      </c>
      <c r="F36" s="2845" t="s">
        <v>2469</v>
      </c>
      <c r="G36" s="2845"/>
    </row>
    <row r="37" spans="1:7" ht="19.5" customHeight="1">
      <c r="A37" s="3637"/>
      <c r="B37" s="3639" t="s">
        <v>2630</v>
      </c>
      <c r="C37" s="2846" t="s">
        <v>2470</v>
      </c>
      <c r="D37" s="2847"/>
      <c r="E37" s="2848">
        <v>0.6</v>
      </c>
      <c r="F37" s="2845" t="s">
        <v>2471</v>
      </c>
      <c r="G37" s="2845"/>
    </row>
    <row r="38" spans="1:7" ht="19.5" customHeight="1">
      <c r="A38" s="3637"/>
      <c r="B38" s="3634"/>
      <c r="C38" s="2846" t="s">
        <v>2472</v>
      </c>
      <c r="D38" s="2847"/>
      <c r="E38" s="2848">
        <v>0.6</v>
      </c>
      <c r="F38" s="2845" t="s">
        <v>2473</v>
      </c>
      <c r="G38" s="2845"/>
    </row>
    <row r="39" spans="1:7" ht="19.5" customHeight="1" thickBot="1">
      <c r="A39" s="3638"/>
      <c r="B39" s="3635"/>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40" t="s">
        <v>2608</v>
      </c>
      <c r="B41" s="3633" t="s">
        <v>2632</v>
      </c>
      <c r="C41" s="2842" t="s">
        <v>2477</v>
      </c>
      <c r="D41" s="2843"/>
      <c r="E41" s="2844">
        <v>1</v>
      </c>
      <c r="F41" s="2845" t="s">
        <v>2478</v>
      </c>
      <c r="G41" s="2845"/>
    </row>
    <row r="42" spans="1:7" ht="19.5" customHeight="1">
      <c r="A42" s="3641"/>
      <c r="B42" s="3634"/>
      <c r="C42" s="2846" t="s">
        <v>2479</v>
      </c>
      <c r="D42" s="2847"/>
      <c r="E42" s="2848">
        <v>1</v>
      </c>
      <c r="F42" s="2845" t="s">
        <v>2480</v>
      </c>
      <c r="G42" s="2845"/>
    </row>
    <row r="43" spans="1:7" ht="19.5" customHeight="1">
      <c r="A43" s="3641"/>
      <c r="B43" s="3643"/>
      <c r="C43" s="2846" t="s">
        <v>2481</v>
      </c>
      <c r="D43" s="2847"/>
      <c r="E43" s="2848">
        <v>1.5</v>
      </c>
      <c r="F43" s="2845" t="s">
        <v>2482</v>
      </c>
      <c r="G43" s="2845"/>
    </row>
    <row r="44" spans="1:7" ht="19.5" customHeight="1">
      <c r="A44" s="3641"/>
      <c r="B44" s="2857" t="s">
        <v>2633</v>
      </c>
      <c r="C44" s="2846" t="s">
        <v>2634</v>
      </c>
      <c r="D44" s="2847"/>
      <c r="E44" s="2848">
        <v>2</v>
      </c>
      <c r="F44" s="2845" t="s">
        <v>2483</v>
      </c>
      <c r="G44" s="2845"/>
    </row>
    <row r="45" spans="1:7" ht="19.5" customHeight="1">
      <c r="A45" s="3641"/>
      <c r="B45" s="3639" t="s">
        <v>2635</v>
      </c>
      <c r="C45" s="2846" t="s">
        <v>2484</v>
      </c>
      <c r="D45" s="2847"/>
      <c r="E45" s="2848">
        <v>1</v>
      </c>
      <c r="F45" s="2845" t="s">
        <v>2485</v>
      </c>
      <c r="G45" s="2845"/>
    </row>
    <row r="46" spans="1:7" ht="19.5" customHeight="1">
      <c r="A46" s="3641"/>
      <c r="B46" s="3634"/>
      <c r="C46" s="2846" t="s">
        <v>2486</v>
      </c>
      <c r="D46" s="2847"/>
      <c r="E46" s="2848">
        <v>1</v>
      </c>
      <c r="F46" s="2845" t="s">
        <v>2487</v>
      </c>
      <c r="G46" s="2845"/>
    </row>
    <row r="47" spans="1:7" ht="19.5" customHeight="1">
      <c r="A47" s="3641"/>
      <c r="B47" s="3634"/>
      <c r="C47" s="2846" t="s">
        <v>2488</v>
      </c>
      <c r="D47" s="2847"/>
      <c r="E47" s="2848">
        <v>1</v>
      </c>
      <c r="F47" s="2845" t="s">
        <v>2489</v>
      </c>
      <c r="G47" s="2845"/>
    </row>
    <row r="48" spans="1:7" ht="19.5" customHeight="1">
      <c r="A48" s="3641"/>
      <c r="B48" s="3634"/>
      <c r="C48" s="2846" t="s">
        <v>2490</v>
      </c>
      <c r="D48" s="2847"/>
      <c r="E48" s="2848">
        <v>1</v>
      </c>
      <c r="F48" s="2845" t="s">
        <v>2491</v>
      </c>
      <c r="G48" s="2845"/>
    </row>
    <row r="49" spans="1:7" ht="19.5" customHeight="1">
      <c r="A49" s="3641"/>
      <c r="B49" s="3634"/>
      <c r="C49" s="2846" t="s">
        <v>2492</v>
      </c>
      <c r="D49" s="2847"/>
      <c r="E49" s="2848">
        <v>1</v>
      </c>
      <c r="F49" s="2845" t="s">
        <v>2493</v>
      </c>
      <c r="G49" s="2845"/>
    </row>
    <row r="50" spans="1:7" ht="19.5" customHeight="1">
      <c r="A50" s="3641"/>
      <c r="B50" s="3634"/>
      <c r="C50" s="2846" t="s">
        <v>2494</v>
      </c>
      <c r="D50" s="2847"/>
      <c r="E50" s="2848">
        <v>1</v>
      </c>
      <c r="F50" s="2845" t="s">
        <v>2495</v>
      </c>
      <c r="G50" s="2845"/>
    </row>
    <row r="51" spans="1:7" ht="19.5" customHeight="1" thickBot="1">
      <c r="A51" s="3642"/>
      <c r="B51" s="3635"/>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39" t="s">
        <v>2649</v>
      </c>
      <c r="C73" s="2831" t="s">
        <v>2650</v>
      </c>
      <c r="D73" s="2831" t="s">
        <v>2651</v>
      </c>
      <c r="E73" s="2857">
        <v>0.2</v>
      </c>
      <c r="F73" s="2857">
        <v>25</v>
      </c>
    </row>
    <row r="74" spans="1:7" ht="24">
      <c r="A74" s="2857">
        <v>2</v>
      </c>
      <c r="B74" s="3634"/>
      <c r="C74" s="2831" t="s">
        <v>2652</v>
      </c>
      <c r="D74" s="2831" t="s">
        <v>2653</v>
      </c>
      <c r="E74" s="2857">
        <v>0.2</v>
      </c>
      <c r="F74" s="2857">
        <v>25</v>
      </c>
    </row>
    <row r="75" spans="1:7" ht="24">
      <c r="A75" s="2857">
        <v>3</v>
      </c>
      <c r="B75" s="3634"/>
      <c r="C75" s="2831" t="s">
        <v>2654</v>
      </c>
      <c r="D75" s="2831" t="s">
        <v>2655</v>
      </c>
      <c r="E75" s="2857">
        <v>0.2</v>
      </c>
      <c r="F75" s="2857">
        <v>25</v>
      </c>
    </row>
    <row r="76" spans="1:7" ht="13.5">
      <c r="A76" s="2857">
        <v>4</v>
      </c>
      <c r="B76" s="3634"/>
      <c r="C76" s="2831" t="s">
        <v>2656</v>
      </c>
      <c r="D76" s="2831" t="s">
        <v>2657</v>
      </c>
      <c r="E76" s="2857">
        <v>0.15</v>
      </c>
      <c r="F76" s="2857">
        <v>20</v>
      </c>
    </row>
    <row r="77" spans="1:7" ht="24">
      <c r="A77" s="2857">
        <v>5</v>
      </c>
      <c r="B77" s="3634"/>
      <c r="C77" s="2831" t="s">
        <v>2658</v>
      </c>
      <c r="D77" s="2831" t="s">
        <v>2659</v>
      </c>
      <c r="E77" s="2857">
        <v>0.15</v>
      </c>
      <c r="F77" s="2857">
        <v>20</v>
      </c>
    </row>
    <row r="78" spans="1:7" ht="24">
      <c r="A78" s="2857">
        <v>6</v>
      </c>
      <c r="B78" s="3634"/>
      <c r="C78" s="2831" t="s">
        <v>2660</v>
      </c>
      <c r="D78" s="2831" t="s">
        <v>2661</v>
      </c>
      <c r="E78" s="2857">
        <v>0.15</v>
      </c>
      <c r="F78" s="2857">
        <v>20</v>
      </c>
    </row>
    <row r="79" spans="1:7" ht="24">
      <c r="A79" s="2857">
        <v>7</v>
      </c>
      <c r="B79" s="3634"/>
      <c r="C79" s="2831" t="s">
        <v>2662</v>
      </c>
      <c r="D79" s="2831" t="s">
        <v>2663</v>
      </c>
      <c r="E79" s="2857">
        <v>0.15</v>
      </c>
      <c r="F79" s="2857">
        <v>20</v>
      </c>
    </row>
    <row r="80" spans="1:7" ht="24">
      <c r="A80" s="2857">
        <v>8</v>
      </c>
      <c r="B80" s="3634"/>
      <c r="C80" s="2831" t="s">
        <v>2664</v>
      </c>
      <c r="D80" s="2831" t="s">
        <v>2665</v>
      </c>
      <c r="E80" s="2857">
        <v>0.1</v>
      </c>
      <c r="F80" s="2857">
        <v>15</v>
      </c>
    </row>
    <row r="81" spans="1:6" ht="24">
      <c r="A81" s="2857">
        <v>9</v>
      </c>
      <c r="B81" s="3634"/>
      <c r="C81" s="2831" t="s">
        <v>2666</v>
      </c>
      <c r="D81" s="2831" t="s">
        <v>2667</v>
      </c>
      <c r="E81" s="2857">
        <v>0.1</v>
      </c>
      <c r="F81" s="2857">
        <v>15</v>
      </c>
    </row>
    <row r="82" spans="1:6" ht="24">
      <c r="A82" s="2857">
        <v>10</v>
      </c>
      <c r="B82" s="3634"/>
      <c r="C82" s="2831" t="s">
        <v>2668</v>
      </c>
      <c r="D82" s="2831" t="s">
        <v>2669</v>
      </c>
      <c r="E82" s="2857">
        <v>0.1</v>
      </c>
      <c r="F82" s="2857">
        <v>15</v>
      </c>
    </row>
    <row r="83" spans="1:6" ht="24">
      <c r="A83" s="2857">
        <v>11</v>
      </c>
      <c r="B83" s="3634"/>
      <c r="C83" s="2831" t="s">
        <v>2670</v>
      </c>
      <c r="D83" s="2831" t="s">
        <v>2671</v>
      </c>
      <c r="E83" s="2857">
        <v>0.1</v>
      </c>
      <c r="F83" s="2857">
        <v>15</v>
      </c>
    </row>
    <row r="84" spans="1:6" ht="24">
      <c r="A84" s="2857">
        <v>12</v>
      </c>
      <c r="B84" s="3634"/>
      <c r="C84" s="2831" t="s">
        <v>2672</v>
      </c>
      <c r="D84" s="2831" t="s">
        <v>2673</v>
      </c>
      <c r="E84" s="2857">
        <v>0.1</v>
      </c>
      <c r="F84" s="2857">
        <v>15</v>
      </c>
    </row>
    <row r="85" spans="1:6" ht="13.5">
      <c r="A85" s="2857">
        <v>13</v>
      </c>
      <c r="B85" s="3634"/>
      <c r="C85" s="2831" t="s">
        <v>2674</v>
      </c>
      <c r="D85" s="2831" t="s">
        <v>2675</v>
      </c>
      <c r="E85" s="2857">
        <v>0.1</v>
      </c>
      <c r="F85" s="2857">
        <v>15</v>
      </c>
    </row>
    <row r="86" spans="1:6" ht="13.5">
      <c r="A86" s="2857">
        <v>14</v>
      </c>
      <c r="B86" s="3634"/>
      <c r="C86" s="2831" t="s">
        <v>2676</v>
      </c>
      <c r="D86" s="2831" t="s">
        <v>2677</v>
      </c>
      <c r="E86" s="2857">
        <v>0.1</v>
      </c>
      <c r="F86" s="2857">
        <v>15</v>
      </c>
    </row>
    <row r="87" spans="1:6" ht="13.5">
      <c r="A87" s="2857">
        <v>15</v>
      </c>
      <c r="B87" s="3634"/>
      <c r="C87" s="2831" t="s">
        <v>2678</v>
      </c>
      <c r="D87" s="2831" t="s">
        <v>2679</v>
      </c>
      <c r="E87" s="2857">
        <v>0.1</v>
      </c>
      <c r="F87" s="2857">
        <v>15</v>
      </c>
    </row>
    <row r="88" spans="1:6" ht="24">
      <c r="A88" s="2857">
        <v>16</v>
      </c>
      <c r="B88" s="3634"/>
      <c r="C88" s="2831" t="s">
        <v>2680</v>
      </c>
      <c r="D88" s="2831" t="s">
        <v>2681</v>
      </c>
      <c r="E88" s="2857">
        <v>0.1</v>
      </c>
      <c r="F88" s="2857">
        <v>15</v>
      </c>
    </row>
    <row r="89" spans="1:6" ht="24">
      <c r="A89" s="2857">
        <v>17</v>
      </c>
      <c r="B89" s="3643"/>
      <c r="C89" s="2831" t="s">
        <v>2682</v>
      </c>
      <c r="D89" s="2831" t="s">
        <v>2683</v>
      </c>
      <c r="E89" s="2857">
        <v>0.1</v>
      </c>
      <c r="F89" s="2857">
        <v>15</v>
      </c>
    </row>
    <row r="90" spans="1:6" ht="13.5">
      <c r="A90" s="2857">
        <v>18</v>
      </c>
      <c r="B90" s="3639" t="s">
        <v>2684</v>
      </c>
      <c r="C90" s="2831" t="s">
        <v>2685</v>
      </c>
      <c r="D90" s="2831" t="s">
        <v>2686</v>
      </c>
      <c r="E90" s="2857">
        <v>0.2</v>
      </c>
      <c r="F90" s="2857">
        <v>25</v>
      </c>
    </row>
    <row r="91" spans="1:6" ht="24">
      <c r="A91" s="2857">
        <v>19</v>
      </c>
      <c r="B91" s="3634"/>
      <c r="C91" s="2831" t="s">
        <v>2687</v>
      </c>
      <c r="D91" s="2831" t="s">
        <v>2688</v>
      </c>
      <c r="E91" s="2857">
        <v>0.2</v>
      </c>
      <c r="F91" s="2857">
        <v>25</v>
      </c>
    </row>
    <row r="92" spans="1:6" ht="13.5">
      <c r="A92" s="2857">
        <v>20</v>
      </c>
      <c r="B92" s="3634"/>
      <c r="C92" s="2831" t="s">
        <v>2689</v>
      </c>
      <c r="D92" s="2831" t="s">
        <v>2690</v>
      </c>
      <c r="E92" s="2857">
        <v>0.15</v>
      </c>
      <c r="F92" s="2857">
        <v>20</v>
      </c>
    </row>
    <row r="93" spans="1:6" ht="13.5">
      <c r="A93" s="2857">
        <v>21</v>
      </c>
      <c r="B93" s="3634"/>
      <c r="C93" s="2831" t="s">
        <v>2691</v>
      </c>
      <c r="D93" s="2831" t="s">
        <v>2692</v>
      </c>
      <c r="E93" s="2857">
        <v>0.15</v>
      </c>
      <c r="F93" s="2857">
        <v>20</v>
      </c>
    </row>
    <row r="94" spans="1:6" ht="13.5">
      <c r="A94" s="2857">
        <v>22</v>
      </c>
      <c r="B94" s="3634"/>
      <c r="C94" s="2831" t="s">
        <v>2693</v>
      </c>
      <c r="D94" s="2831" t="s">
        <v>2694</v>
      </c>
      <c r="E94" s="2857">
        <v>0.15</v>
      </c>
      <c r="F94" s="2857">
        <v>20</v>
      </c>
    </row>
    <row r="95" spans="1:6" ht="36">
      <c r="A95" s="2857">
        <v>23</v>
      </c>
      <c r="B95" s="3634"/>
      <c r="C95" s="2831" t="s">
        <v>2695</v>
      </c>
      <c r="D95" s="2831" t="s">
        <v>2696</v>
      </c>
      <c r="E95" s="2857">
        <v>0.15</v>
      </c>
      <c r="F95" s="2857">
        <v>20</v>
      </c>
    </row>
    <row r="96" spans="1:6" ht="13.5">
      <c r="A96" s="2857">
        <v>24</v>
      </c>
      <c r="B96" s="3634"/>
      <c r="C96" s="2831" t="s">
        <v>2697</v>
      </c>
      <c r="D96" s="2831" t="s">
        <v>2698</v>
      </c>
      <c r="E96" s="2857">
        <v>0.1</v>
      </c>
      <c r="F96" s="2857">
        <v>15</v>
      </c>
    </row>
    <row r="97" spans="1:6" ht="13.5">
      <c r="A97" s="2857">
        <v>25</v>
      </c>
      <c r="B97" s="3634"/>
      <c r="C97" s="2831" t="s">
        <v>2699</v>
      </c>
      <c r="D97" s="2831" t="s">
        <v>2700</v>
      </c>
      <c r="E97" s="2857">
        <v>0.1</v>
      </c>
      <c r="F97" s="2857">
        <v>15</v>
      </c>
    </row>
    <row r="98" spans="1:6" ht="24">
      <c r="A98" s="2857">
        <v>26</v>
      </c>
      <c r="B98" s="3634"/>
      <c r="C98" s="2831" t="s">
        <v>2701</v>
      </c>
      <c r="D98" s="2831" t="s">
        <v>2702</v>
      </c>
      <c r="E98" s="2857">
        <v>0.1</v>
      </c>
      <c r="F98" s="2857">
        <v>15</v>
      </c>
    </row>
    <row r="99" spans="1:6" ht="24">
      <c r="A99" s="2857">
        <v>27</v>
      </c>
      <c r="B99" s="3634"/>
      <c r="C99" s="2831" t="s">
        <v>2703</v>
      </c>
      <c r="D99" s="2831" t="s">
        <v>2704</v>
      </c>
      <c r="E99" s="2857">
        <v>0.1</v>
      </c>
      <c r="F99" s="2857">
        <v>15</v>
      </c>
    </row>
    <row r="100" spans="1:6" ht="13.5">
      <c r="A100" s="2857">
        <v>28</v>
      </c>
      <c r="B100" s="3634"/>
      <c r="C100" s="2831" t="s">
        <v>2705</v>
      </c>
      <c r="D100" s="2831" t="s">
        <v>2706</v>
      </c>
      <c r="E100" s="2857">
        <v>0.1</v>
      </c>
      <c r="F100" s="2857">
        <v>15</v>
      </c>
    </row>
    <row r="101" spans="1:6" ht="13.5">
      <c r="A101" s="2857">
        <v>29</v>
      </c>
      <c r="B101" s="3634"/>
      <c r="C101" s="2831" t="s">
        <v>2707</v>
      </c>
      <c r="D101" s="2831" t="s">
        <v>2708</v>
      </c>
      <c r="E101" s="2857">
        <v>0.1</v>
      </c>
      <c r="F101" s="2857">
        <v>15</v>
      </c>
    </row>
    <row r="102" spans="1:6" ht="13.5">
      <c r="A102" s="2857">
        <v>30</v>
      </c>
      <c r="B102" s="3634"/>
      <c r="C102" s="2831" t="s">
        <v>2709</v>
      </c>
      <c r="D102" s="2831" t="s">
        <v>2710</v>
      </c>
      <c r="E102" s="2857">
        <v>0.1</v>
      </c>
      <c r="F102" s="2857">
        <v>15</v>
      </c>
    </row>
    <row r="103" spans="1:6" ht="24">
      <c r="A103" s="2857">
        <v>31</v>
      </c>
      <c r="B103" s="3634"/>
      <c r="C103" s="2831" t="s">
        <v>2711</v>
      </c>
      <c r="D103" s="2831" t="s">
        <v>2712</v>
      </c>
      <c r="E103" s="2857">
        <v>0.1</v>
      </c>
      <c r="F103" s="2857">
        <v>15</v>
      </c>
    </row>
    <row r="104" spans="1:6" ht="24">
      <c r="A104" s="2857">
        <v>32</v>
      </c>
      <c r="B104" s="3634"/>
      <c r="C104" s="2831" t="s">
        <v>2713</v>
      </c>
      <c r="D104" s="2831" t="s">
        <v>2714</v>
      </c>
      <c r="E104" s="2857">
        <v>0.1</v>
      </c>
      <c r="F104" s="2857">
        <v>15</v>
      </c>
    </row>
    <row r="105" spans="1:6" ht="24">
      <c r="A105" s="2857">
        <v>33</v>
      </c>
      <c r="B105" s="3634"/>
      <c r="C105" s="2831" t="s">
        <v>2715</v>
      </c>
      <c r="D105" s="2831" t="s">
        <v>2716</v>
      </c>
      <c r="E105" s="2857">
        <v>0.1</v>
      </c>
      <c r="F105" s="2857">
        <v>15</v>
      </c>
    </row>
    <row r="106" spans="1:6" ht="24">
      <c r="A106" s="2857">
        <v>34</v>
      </c>
      <c r="B106" s="3643"/>
      <c r="C106" s="2831" t="s">
        <v>2717</v>
      </c>
      <c r="D106" s="2831" t="s">
        <v>2718</v>
      </c>
      <c r="E106" s="2857">
        <v>0.1</v>
      </c>
      <c r="F106" s="2857">
        <v>15</v>
      </c>
    </row>
    <row r="107" spans="1:6" ht="24">
      <c r="A107" s="2857">
        <v>35</v>
      </c>
      <c r="B107" s="3639" t="s">
        <v>2719</v>
      </c>
      <c r="C107" s="2857" t="s">
        <v>2720</v>
      </c>
      <c r="D107" s="2831" t="s">
        <v>2721</v>
      </c>
      <c r="E107" s="2857">
        <v>0.15</v>
      </c>
      <c r="F107" s="2857">
        <v>20</v>
      </c>
    </row>
    <row r="108" spans="1:6" ht="13.5">
      <c r="A108" s="2857">
        <v>36</v>
      </c>
      <c r="B108" s="3634"/>
      <c r="C108" s="2857" t="s">
        <v>2722</v>
      </c>
      <c r="D108" s="2831" t="s">
        <v>2723</v>
      </c>
      <c r="E108" s="2857">
        <v>0.15</v>
      </c>
      <c r="F108" s="2857">
        <v>20</v>
      </c>
    </row>
    <row r="109" spans="1:6" ht="13.5">
      <c r="A109" s="2857">
        <v>37</v>
      </c>
      <c r="B109" s="3634"/>
      <c r="C109" s="2857" t="s">
        <v>2724</v>
      </c>
      <c r="D109" s="2831" t="s">
        <v>2725</v>
      </c>
      <c r="E109" s="2857">
        <v>0.15</v>
      </c>
      <c r="F109" s="2857">
        <v>20</v>
      </c>
    </row>
    <row r="110" spans="1:6" ht="13.5">
      <c r="A110" s="2857">
        <v>38</v>
      </c>
      <c r="B110" s="3634"/>
      <c r="C110" s="2857" t="s">
        <v>2726</v>
      </c>
      <c r="D110" s="2831" t="s">
        <v>2727</v>
      </c>
      <c r="E110" s="2857">
        <v>0.1</v>
      </c>
      <c r="F110" s="2857">
        <v>15</v>
      </c>
    </row>
    <row r="111" spans="1:6" ht="24">
      <c r="A111" s="2857">
        <v>39</v>
      </c>
      <c r="B111" s="3634"/>
      <c r="C111" s="2857" t="s">
        <v>2728</v>
      </c>
      <c r="D111" s="2831" t="s">
        <v>2729</v>
      </c>
      <c r="E111" s="2857">
        <v>0.1</v>
      </c>
      <c r="F111" s="2857">
        <v>15</v>
      </c>
    </row>
    <row r="112" spans="1:6" ht="24">
      <c r="A112" s="2857">
        <v>40</v>
      </c>
      <c r="B112" s="3643"/>
      <c r="C112" s="2857" t="s">
        <v>2730</v>
      </c>
      <c r="D112" s="2831" t="s">
        <v>2731</v>
      </c>
      <c r="E112" s="2857">
        <v>0.1</v>
      </c>
      <c r="F112" s="2857">
        <v>15</v>
      </c>
    </row>
    <row r="113" spans="1:6" ht="13.5">
      <c r="A113" s="2857">
        <v>41</v>
      </c>
      <c r="B113" s="3644" t="s">
        <v>2732</v>
      </c>
      <c r="C113" s="2857" t="s">
        <v>2733</v>
      </c>
      <c r="D113" s="2831" t="s">
        <v>2734</v>
      </c>
      <c r="E113" s="2857">
        <v>0.1</v>
      </c>
      <c r="F113" s="2857">
        <v>15</v>
      </c>
    </row>
    <row r="114" spans="1:6" ht="13.5">
      <c r="A114" s="2857">
        <v>42</v>
      </c>
      <c r="B114" s="3644"/>
      <c r="C114" s="2857" t="s">
        <v>2735</v>
      </c>
      <c r="D114" s="2831" t="s">
        <v>2736</v>
      </c>
      <c r="E114" s="2857">
        <v>0.1</v>
      </c>
      <c r="F114" s="2857">
        <v>15</v>
      </c>
    </row>
    <row r="115" spans="1:6" ht="24">
      <c r="A115" s="2857">
        <v>43</v>
      </c>
      <c r="B115" s="3644"/>
      <c r="C115" s="2857" t="s">
        <v>2737</v>
      </c>
      <c r="D115" s="2831" t="s">
        <v>2738</v>
      </c>
      <c r="E115" s="2857">
        <v>0.1</v>
      </c>
      <c r="F115" s="2857">
        <v>15</v>
      </c>
    </row>
    <row r="116" spans="1:6" ht="13.5">
      <c r="A116" s="2857">
        <v>44</v>
      </c>
      <c r="B116" s="3639" t="s">
        <v>2739</v>
      </c>
      <c r="C116" s="2857" t="s">
        <v>2740</v>
      </c>
      <c r="D116" s="2831" t="s">
        <v>2741</v>
      </c>
      <c r="E116" s="2857">
        <v>0.1</v>
      </c>
      <c r="F116" s="2857">
        <v>15</v>
      </c>
    </row>
    <row r="117" spans="1:6" ht="24">
      <c r="A117" s="2857">
        <v>45</v>
      </c>
      <c r="B117" s="3643"/>
      <c r="C117" s="2831" t="s">
        <v>2742</v>
      </c>
      <c r="D117" s="2831" t="s">
        <v>2743</v>
      </c>
      <c r="E117" s="2857">
        <v>0.1</v>
      </c>
      <c r="F117" s="2857">
        <v>15</v>
      </c>
    </row>
    <row r="118" spans="1:6" ht="24">
      <c r="A118" s="2857">
        <v>46</v>
      </c>
      <c r="B118" s="3639" t="s">
        <v>2744</v>
      </c>
      <c r="C118" s="2857" t="s">
        <v>2745</v>
      </c>
      <c r="D118" s="2831" t="s">
        <v>2746</v>
      </c>
      <c r="E118" s="2857">
        <v>0.1</v>
      </c>
      <c r="F118" s="2857">
        <v>15</v>
      </c>
    </row>
    <row r="119" spans="1:6" ht="24">
      <c r="A119" s="2857">
        <v>47</v>
      </c>
      <c r="B119" s="3643"/>
      <c r="C119" s="2857" t="s">
        <v>2747</v>
      </c>
      <c r="D119" s="2831" t="s">
        <v>2748</v>
      </c>
      <c r="E119" s="2857">
        <v>0.1</v>
      </c>
      <c r="F119" s="2857">
        <v>15</v>
      </c>
    </row>
    <row r="120" spans="1:6" ht="13.5">
      <c r="A120" s="2857">
        <v>48</v>
      </c>
      <c r="B120" s="3639" t="s">
        <v>2749</v>
      </c>
      <c r="C120" s="2857" t="s">
        <v>2750</v>
      </c>
      <c r="D120" s="2831" t="s">
        <v>2751</v>
      </c>
      <c r="E120" s="2857">
        <v>0.1</v>
      </c>
      <c r="F120" s="2857">
        <v>15</v>
      </c>
    </row>
    <row r="121" spans="1:6" ht="13.5">
      <c r="A121" s="2857">
        <v>49</v>
      </c>
      <c r="B121" s="3643"/>
      <c r="C121" s="2857" t="s">
        <v>2752</v>
      </c>
      <c r="D121" s="2831" t="s">
        <v>2753</v>
      </c>
      <c r="E121" s="2857">
        <v>0.1</v>
      </c>
      <c r="F121" s="2857">
        <v>15</v>
      </c>
    </row>
    <row r="122" spans="1:6" ht="24">
      <c r="A122" s="2857">
        <v>50</v>
      </c>
      <c r="B122" s="3644" t="s">
        <v>2754</v>
      </c>
      <c r="C122" s="2857" t="s">
        <v>2755</v>
      </c>
      <c r="D122" s="2831" t="s">
        <v>2756</v>
      </c>
      <c r="E122" s="2857">
        <v>0.1</v>
      </c>
      <c r="F122" s="2857">
        <v>15</v>
      </c>
    </row>
    <row r="123" spans="1:6" ht="24">
      <c r="A123" s="2857">
        <v>51</v>
      </c>
      <c r="B123" s="3644"/>
      <c r="C123" s="2857" t="s">
        <v>2757</v>
      </c>
      <c r="D123" s="2831" t="s">
        <v>2758</v>
      </c>
      <c r="E123" s="2857">
        <v>0.1</v>
      </c>
      <c r="F123" s="2857">
        <v>15</v>
      </c>
    </row>
    <row r="124" spans="1:6" ht="24">
      <c r="A124" s="2857">
        <v>52</v>
      </c>
      <c r="B124" s="3644" t="s">
        <v>2759</v>
      </c>
      <c r="C124" s="2857" t="s">
        <v>2760</v>
      </c>
      <c r="D124" s="2831" t="s">
        <v>2761</v>
      </c>
      <c r="E124" s="2857">
        <v>0.1</v>
      </c>
      <c r="F124" s="2857">
        <v>15</v>
      </c>
    </row>
    <row r="125" spans="1:6" ht="24">
      <c r="A125" s="2857">
        <v>53</v>
      </c>
      <c r="B125" s="3644"/>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44" t="s">
        <v>2767</v>
      </c>
      <c r="C127" s="2857" t="s">
        <v>2768</v>
      </c>
      <c r="D127" s="2831" t="s">
        <v>2769</v>
      </c>
      <c r="E127" s="2857">
        <v>0.1</v>
      </c>
      <c r="F127" s="2857">
        <v>15</v>
      </c>
    </row>
    <row r="128" spans="1:6" ht="13.5">
      <c r="A128" s="2857">
        <v>56</v>
      </c>
      <c r="B128" s="3644"/>
      <c r="C128" s="2857" t="s">
        <v>2770</v>
      </c>
      <c r="D128" s="2831" t="s">
        <v>2771</v>
      </c>
      <c r="E128" s="2857">
        <v>0.1</v>
      </c>
      <c r="F128" s="2857">
        <v>15</v>
      </c>
    </row>
    <row r="129" spans="1:6" ht="24">
      <c r="A129" s="2857">
        <v>57</v>
      </c>
      <c r="B129" s="3644"/>
      <c r="C129" s="2857" t="s">
        <v>2772</v>
      </c>
      <c r="D129" s="2831" t="s">
        <v>2773</v>
      </c>
      <c r="E129" s="2857">
        <v>0.1</v>
      </c>
      <c r="F129" s="2857">
        <v>15</v>
      </c>
    </row>
    <row r="130" spans="1:6" ht="24">
      <c r="A130" s="2857">
        <v>58</v>
      </c>
      <c r="B130" s="3644" t="s">
        <v>2774</v>
      </c>
      <c r="C130" s="2857" t="s">
        <v>2775</v>
      </c>
      <c r="D130" s="2831" t="s">
        <v>2776</v>
      </c>
      <c r="E130" s="2857">
        <v>0.1</v>
      </c>
      <c r="F130" s="2857">
        <v>15</v>
      </c>
    </row>
    <row r="131" spans="1:6" ht="13.5">
      <c r="A131" s="2857">
        <v>59</v>
      </c>
      <c r="B131" s="3644"/>
      <c r="C131" s="2857" t="s">
        <v>2777</v>
      </c>
      <c r="D131" s="2831" t="s">
        <v>2778</v>
      </c>
      <c r="E131" s="2857">
        <v>0.1</v>
      </c>
      <c r="F131" s="2857">
        <v>15</v>
      </c>
    </row>
    <row r="132" spans="1:6" ht="13.5">
      <c r="A132" s="2857">
        <v>60</v>
      </c>
      <c r="B132" s="3639" t="s">
        <v>2779</v>
      </c>
      <c r="C132" s="2857" t="s">
        <v>2780</v>
      </c>
      <c r="D132" s="2831" t="s">
        <v>2781</v>
      </c>
      <c r="E132" s="2857">
        <v>0.1</v>
      </c>
      <c r="F132" s="2857">
        <v>15</v>
      </c>
    </row>
    <row r="133" spans="1:6" ht="13.5">
      <c r="A133" s="2857">
        <v>61</v>
      </c>
      <c r="B133" s="3643"/>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44" t="s">
        <v>2787</v>
      </c>
      <c r="C135" s="2857" t="s">
        <v>2788</v>
      </c>
      <c r="D135" s="2831" t="s">
        <v>2789</v>
      </c>
      <c r="E135" s="2857">
        <v>0.1</v>
      </c>
      <c r="F135" s="2857">
        <v>15</v>
      </c>
    </row>
    <row r="136" spans="1:6" ht="13.5">
      <c r="A136" s="2857">
        <v>64</v>
      </c>
      <c r="B136" s="3644"/>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68" t="s">
        <v>94</v>
      </c>
    </row>
    <row r="43" spans="1:7" ht="13.5" customHeight="1">
      <c r="A43" s="734" t="s">
        <v>347</v>
      </c>
      <c r="B43" s="207" t="s">
        <v>426</v>
      </c>
      <c r="C43" s="230">
        <f ca="1">ROUND(IF('数据-取费表'!B22&lt;=1,C39*F22*'数据-取费表'!B21/2,C39*(POWER((1+F22),'数据-取费表'!B21/2)-1)),0)</f>
        <v>0</v>
      </c>
      <c r="D43" s="230"/>
      <c r="E43" s="230"/>
      <c r="F43" s="231"/>
      <c r="G43" s="3469"/>
    </row>
    <row r="44" spans="1:7" ht="13.5" customHeight="1">
      <c r="A44" s="734" t="s">
        <v>348</v>
      </c>
      <c r="B44" s="207" t="s">
        <v>428</v>
      </c>
      <c r="C44" s="230">
        <f ca="1">ROUND(IF('数据-取费表'!B22&lt;=1,C40*F22*'数据-取费表'!B21/2,C40*(POWER((1+F22),'数据-取费表'!B21/2)-1)),4)</f>
        <v>2.9999999999999997E-4</v>
      </c>
      <c r="D44" s="230"/>
      <c r="E44" s="230"/>
      <c r="F44" s="231"/>
      <c r="G44" s="3470"/>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45" t="s">
        <v>3179</v>
      </c>
      <c r="B1" s="3645"/>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46" t="s">
        <v>3230</v>
      </c>
      <c r="B1" s="3646"/>
      <c r="C1" s="3646"/>
      <c r="D1" s="3646"/>
      <c r="E1" s="3646"/>
      <c r="F1" s="3647"/>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56" t="s">
        <v>1667</v>
      </c>
      <c r="D4" s="3557"/>
      <c r="E4" s="3558" t="s">
        <v>1668</v>
      </c>
      <c r="F4" s="3559"/>
      <c r="G4" s="3556" t="s">
        <v>1669</v>
      </c>
      <c r="H4" s="3557"/>
      <c r="I4" s="3556" t="s">
        <v>1670</v>
      </c>
      <c r="J4" s="3557"/>
      <c r="K4" s="537" t="s">
        <v>1671</v>
      </c>
      <c r="L4" s="2486"/>
      <c r="M4" s="2487"/>
      <c r="N4" s="2487"/>
      <c r="O4" s="2487"/>
      <c r="P4" s="3560" t="s">
        <v>1672</v>
      </c>
      <c r="Q4" s="3561"/>
      <c r="R4" s="3543" t="s">
        <v>1668</v>
      </c>
      <c r="S4" s="3544"/>
      <c r="T4" s="3543" t="s">
        <v>1669</v>
      </c>
      <c r="U4" s="3544"/>
      <c r="V4" s="3568" t="s">
        <v>1670</v>
      </c>
      <c r="W4" s="3568"/>
      <c r="X4" s="1265"/>
      <c r="Y4" s="3543" t="s">
        <v>1672</v>
      </c>
      <c r="Z4" s="3544"/>
      <c r="AA4" s="3538" t="s">
        <v>1668</v>
      </c>
      <c r="AB4" s="3568" t="s">
        <v>1669</v>
      </c>
      <c r="AC4" s="3538" t="s">
        <v>1670</v>
      </c>
    </row>
    <row r="5" spans="1:29" ht="15">
      <c r="A5" s="348"/>
      <c r="B5" s="349"/>
      <c r="C5" s="3602" t="s">
        <v>3574</v>
      </c>
      <c r="D5" s="3550"/>
      <c r="E5" s="3547" t="str">
        <f>租金案例!C42</f>
        <v>昆泰国际</v>
      </c>
      <c r="F5" s="3548"/>
      <c r="G5" s="3549" t="str">
        <f>租金案例!C43</f>
        <v>圣世一品</v>
      </c>
      <c r="H5" s="3550"/>
      <c r="I5" s="3549" t="str">
        <f>租金案例!C44</f>
        <v>新城国际</v>
      </c>
      <c r="J5" s="3550"/>
      <c r="K5" s="537"/>
      <c r="L5" s="2486"/>
      <c r="M5" s="2487"/>
      <c r="N5" s="2487"/>
      <c r="O5" s="2487"/>
      <c r="P5" s="3562"/>
      <c r="Q5" s="3563"/>
      <c r="R5" s="3545"/>
      <c r="S5" s="3546"/>
      <c r="T5" s="3545"/>
      <c r="U5" s="3546"/>
      <c r="V5" s="3568"/>
      <c r="W5" s="3568"/>
      <c r="X5" s="1265"/>
      <c r="Y5" s="3545"/>
      <c r="Z5" s="3546"/>
      <c r="AA5" s="3539"/>
      <c r="AB5" s="3568"/>
      <c r="AC5" s="3539"/>
    </row>
    <row r="6" spans="1:29" ht="15.75" thickBot="1">
      <c r="A6" s="350"/>
      <c r="B6" s="351"/>
      <c r="C6" s="3551" t="s">
        <v>1677</v>
      </c>
      <c r="D6" s="3552"/>
      <c r="E6" s="3553" t="s">
        <v>1677</v>
      </c>
      <c r="F6" s="3554"/>
      <c r="G6" s="3551" t="s">
        <v>1677</v>
      </c>
      <c r="H6" s="3552"/>
      <c r="I6" s="3551" t="s">
        <v>1677</v>
      </c>
      <c r="J6" s="3552"/>
      <c r="K6" s="537" t="s">
        <v>1678</v>
      </c>
      <c r="L6" s="2486"/>
      <c r="M6" s="2487"/>
      <c r="N6" s="2487"/>
      <c r="O6" s="2487"/>
      <c r="P6" s="3564"/>
      <c r="Q6" s="3565"/>
      <c r="R6" s="3545"/>
      <c r="S6" s="3546"/>
      <c r="T6" s="3566"/>
      <c r="U6" s="3567"/>
      <c r="V6" s="3568"/>
      <c r="W6" s="3568"/>
      <c r="X6" s="1265"/>
      <c r="Y6" s="3566"/>
      <c r="Z6" s="3567"/>
      <c r="AA6" s="3540"/>
      <c r="AB6" s="3568"/>
      <c r="AC6" s="3540"/>
    </row>
    <row r="7" spans="1:29" s="102" customFormat="1" ht="15.75" thickBot="1">
      <c r="A7" s="352" t="s">
        <v>1679</v>
      </c>
      <c r="B7" s="353"/>
      <c r="C7" s="354">
        <f>'数据-取费表'!B2</f>
        <v>45880</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1" t="s">
        <v>1680</v>
      </c>
      <c r="Q7" s="3569"/>
      <c r="R7" s="664" t="s">
        <v>14</v>
      </c>
      <c r="S7" s="665">
        <f t="shared" ref="S7:S15" si="0">F7</f>
        <v>0</v>
      </c>
      <c r="T7" s="664" t="s">
        <v>14</v>
      </c>
      <c r="U7" s="665">
        <f t="shared" ref="U7:U15" si="1">H7</f>
        <v>0</v>
      </c>
      <c r="V7" s="664" t="s">
        <v>14</v>
      </c>
      <c r="W7" s="665">
        <f t="shared" ref="W7:W15" si="2">J7</f>
        <v>0</v>
      </c>
      <c r="X7" s="666"/>
      <c r="Y7" s="3541" t="s">
        <v>1680</v>
      </c>
      <c r="Z7" s="3542"/>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41" t="s">
        <v>1683</v>
      </c>
      <c r="Q8" s="3542"/>
      <c r="R8" s="664" t="s">
        <v>14</v>
      </c>
      <c r="S8" s="665">
        <f t="shared" si="0"/>
        <v>102</v>
      </c>
      <c r="T8" s="664" t="s">
        <v>14</v>
      </c>
      <c r="U8" s="665">
        <f t="shared" si="1"/>
        <v>102</v>
      </c>
      <c r="V8" s="664" t="s">
        <v>14</v>
      </c>
      <c r="W8" s="665">
        <f t="shared" si="2"/>
        <v>102</v>
      </c>
      <c r="X8" s="666"/>
      <c r="Y8" s="3541" t="s">
        <v>1683</v>
      </c>
      <c r="Z8" s="3542"/>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55" t="s">
        <v>1686</v>
      </c>
      <c r="Q9" s="530" t="str">
        <f t="shared" ref="Q9:Q15" si="6">B9</f>
        <v>用途</v>
      </c>
      <c r="R9" s="664" t="s">
        <v>14</v>
      </c>
      <c r="S9" s="665">
        <f t="shared" si="0"/>
        <v>100</v>
      </c>
      <c r="T9" s="664" t="s">
        <v>14</v>
      </c>
      <c r="U9" s="665">
        <f t="shared" si="1"/>
        <v>100</v>
      </c>
      <c r="V9" s="664" t="s">
        <v>14</v>
      </c>
      <c r="W9" s="665">
        <f t="shared" si="2"/>
        <v>100</v>
      </c>
      <c r="X9" s="666"/>
      <c r="Y9" s="34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55"/>
      <c r="Q10" s="530" t="str">
        <f t="shared" si="6"/>
        <v>土地使用年限（年）</v>
      </c>
      <c r="R10" s="664" t="s">
        <v>14</v>
      </c>
      <c r="S10" s="665">
        <f t="shared" si="0"/>
        <v>100</v>
      </c>
      <c r="T10" s="664" t="s">
        <v>14</v>
      </c>
      <c r="U10" s="665">
        <f t="shared" si="1"/>
        <v>100</v>
      </c>
      <c r="V10" s="664" t="s">
        <v>14</v>
      </c>
      <c r="W10" s="665">
        <f t="shared" si="2"/>
        <v>100</v>
      </c>
      <c r="X10" s="666"/>
      <c r="Y10" s="34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55"/>
      <c r="Q11" s="530" t="str">
        <f t="shared" si="6"/>
        <v>容积率</v>
      </c>
      <c r="R11" s="664" t="s">
        <v>14</v>
      </c>
      <c r="S11" s="665">
        <f t="shared" si="0"/>
        <v>100</v>
      </c>
      <c r="T11" s="664" t="s">
        <v>14</v>
      </c>
      <c r="U11" s="665">
        <f t="shared" si="1"/>
        <v>100</v>
      </c>
      <c r="V11" s="664" t="s">
        <v>14</v>
      </c>
      <c r="W11" s="665">
        <f t="shared" si="2"/>
        <v>100</v>
      </c>
      <c r="X11" s="666"/>
      <c r="Y11" s="34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55"/>
      <c r="Q12" s="530">
        <f t="shared" si="6"/>
        <v>111</v>
      </c>
      <c r="R12" s="664" t="s">
        <v>14</v>
      </c>
      <c r="S12" s="665">
        <f t="shared" si="0"/>
        <v>100</v>
      </c>
      <c r="T12" s="664" t="s">
        <v>14</v>
      </c>
      <c r="U12" s="665">
        <f t="shared" si="1"/>
        <v>100</v>
      </c>
      <c r="V12" s="664" t="s">
        <v>14</v>
      </c>
      <c r="W12" s="665">
        <f t="shared" si="2"/>
        <v>100</v>
      </c>
      <c r="X12" s="666"/>
      <c r="Y12" s="34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55"/>
      <c r="Q13" s="530">
        <f t="shared" si="6"/>
        <v>111</v>
      </c>
      <c r="R13" s="664" t="s">
        <v>14</v>
      </c>
      <c r="S13" s="665">
        <f t="shared" si="0"/>
        <v>100</v>
      </c>
      <c r="T13" s="664" t="s">
        <v>14</v>
      </c>
      <c r="U13" s="665">
        <f t="shared" si="1"/>
        <v>100</v>
      </c>
      <c r="V13" s="664" t="s">
        <v>14</v>
      </c>
      <c r="W13" s="665">
        <f t="shared" si="2"/>
        <v>100</v>
      </c>
      <c r="X13" s="666"/>
      <c r="Y13" s="34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55"/>
      <c r="Q14" s="530">
        <f t="shared" si="6"/>
        <v>111</v>
      </c>
      <c r="R14" s="664" t="s">
        <v>14</v>
      </c>
      <c r="S14" s="665">
        <f t="shared" si="0"/>
        <v>100</v>
      </c>
      <c r="T14" s="664" t="s">
        <v>14</v>
      </c>
      <c r="U14" s="665">
        <f t="shared" si="1"/>
        <v>100</v>
      </c>
      <c r="V14" s="664" t="s">
        <v>14</v>
      </c>
      <c r="W14" s="665">
        <f t="shared" si="2"/>
        <v>100</v>
      </c>
      <c r="X14" s="666"/>
      <c r="Y14" s="34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81" t="s">
        <v>1691</v>
      </c>
      <c r="Q15" s="1263" t="str">
        <f t="shared" si="6"/>
        <v>商业繁华度</v>
      </c>
      <c r="R15" s="667" t="s">
        <v>14</v>
      </c>
      <c r="S15" s="668">
        <f t="shared" si="0"/>
        <v>100</v>
      </c>
      <c r="T15" s="667" t="s">
        <v>14</v>
      </c>
      <c r="U15" s="668">
        <f t="shared" si="1"/>
        <v>98</v>
      </c>
      <c r="V15" s="667" t="s">
        <v>14</v>
      </c>
      <c r="W15" s="668">
        <f t="shared" si="2"/>
        <v>98</v>
      </c>
      <c r="X15" s="1265"/>
      <c r="Y15" s="3574"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82"/>
      <c r="Q16" s="1263"/>
      <c r="R16" s="667"/>
      <c r="S16" s="668"/>
      <c r="T16" s="667"/>
      <c r="U16" s="668"/>
      <c r="V16" s="667"/>
      <c r="W16" s="668"/>
      <c r="X16" s="1265"/>
      <c r="Y16" s="3575"/>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82"/>
      <c r="Q17" s="1263" t="str">
        <f>B17</f>
        <v>交通便捷度</v>
      </c>
      <c r="R17" s="667" t="s">
        <v>14</v>
      </c>
      <c r="S17" s="668">
        <f>F17</f>
        <v>100</v>
      </c>
      <c r="T17" s="667" t="s">
        <v>14</v>
      </c>
      <c r="U17" s="668">
        <f>H17</f>
        <v>100</v>
      </c>
      <c r="V17" s="667" t="s">
        <v>14</v>
      </c>
      <c r="W17" s="668">
        <f>J17</f>
        <v>100</v>
      </c>
      <c r="X17" s="1265"/>
      <c r="Y17" s="3575"/>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82"/>
      <c r="Q18" s="1263"/>
      <c r="R18" s="667"/>
      <c r="S18" s="668"/>
      <c r="T18" s="667"/>
      <c r="U18" s="668"/>
      <c r="V18" s="667"/>
      <c r="W18" s="668"/>
      <c r="X18" s="1265"/>
      <c r="Y18" s="3575"/>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82"/>
      <c r="Q19" s="1263" t="str">
        <f>B19</f>
        <v>公共配套设施</v>
      </c>
      <c r="R19" s="667" t="s">
        <v>14</v>
      </c>
      <c r="S19" s="668">
        <f>F19</f>
        <v>100</v>
      </c>
      <c r="T19" s="667" t="s">
        <v>14</v>
      </c>
      <c r="U19" s="668">
        <f>H19</f>
        <v>100</v>
      </c>
      <c r="V19" s="667" t="s">
        <v>14</v>
      </c>
      <c r="W19" s="668">
        <f>J19</f>
        <v>100</v>
      </c>
      <c r="X19" s="1265"/>
      <c r="Y19" s="3575"/>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82"/>
      <c r="Q20" s="1263"/>
      <c r="R20" s="667"/>
      <c r="S20" s="668"/>
      <c r="T20" s="667"/>
      <c r="U20" s="668"/>
      <c r="V20" s="667"/>
      <c r="W20" s="668"/>
      <c r="X20" s="1265"/>
      <c r="Y20" s="357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82"/>
      <c r="Q21" s="1263" t="str">
        <f>B21</f>
        <v>基础设施水平</v>
      </c>
      <c r="R21" s="667" t="s">
        <v>14</v>
      </c>
      <c r="S21" s="668">
        <f>F21</f>
        <v>100</v>
      </c>
      <c r="T21" s="667" t="s">
        <v>14</v>
      </c>
      <c r="U21" s="668">
        <f>H21</f>
        <v>100</v>
      </c>
      <c r="V21" s="667" t="s">
        <v>14</v>
      </c>
      <c r="W21" s="668">
        <f>J21</f>
        <v>100</v>
      </c>
      <c r="X21" s="1265"/>
      <c r="Y21" s="3575"/>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82"/>
      <c r="Q22" s="1263"/>
      <c r="R22" s="667"/>
      <c r="S22" s="668"/>
      <c r="T22" s="667"/>
      <c r="U22" s="668"/>
      <c r="V22" s="667"/>
      <c r="W22" s="668"/>
      <c r="X22" s="1265"/>
      <c r="Y22" s="3575"/>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82"/>
      <c r="Q23" s="1263" t="str">
        <f>B23</f>
        <v>自然及人文环境</v>
      </c>
      <c r="R23" s="667" t="s">
        <v>14</v>
      </c>
      <c r="S23" s="668">
        <f>F23</f>
        <v>100</v>
      </c>
      <c r="T23" s="667" t="s">
        <v>14</v>
      </c>
      <c r="U23" s="668">
        <f>H23</f>
        <v>100</v>
      </c>
      <c r="V23" s="667" t="s">
        <v>14</v>
      </c>
      <c r="W23" s="668">
        <f>J23</f>
        <v>100</v>
      </c>
      <c r="X23" s="1265"/>
      <c r="Y23" s="3575"/>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82"/>
      <c r="Q24" s="1263"/>
      <c r="R24" s="667"/>
      <c r="S24" s="668"/>
      <c r="T24" s="667"/>
      <c r="U24" s="668"/>
      <c r="V24" s="667"/>
      <c r="W24" s="668"/>
      <c r="X24" s="1265"/>
      <c r="Y24" s="3575"/>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82"/>
      <c r="Q25" s="1263" t="str">
        <f t="shared" ref="Q25:Q46" si="11">B25</f>
        <v>临街状况</v>
      </c>
      <c r="R25" s="667" t="s">
        <v>14</v>
      </c>
      <c r="S25" s="668">
        <f>F25</f>
        <v>100</v>
      </c>
      <c r="T25" s="667" t="s">
        <v>14</v>
      </c>
      <c r="U25" s="668">
        <f>H25</f>
        <v>100</v>
      </c>
      <c r="V25" s="667" t="s">
        <v>14</v>
      </c>
      <c r="W25" s="668">
        <f>J25</f>
        <v>100</v>
      </c>
      <c r="X25" s="1265"/>
      <c r="Y25" s="357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82"/>
      <c r="Q26" s="1263" t="str">
        <f t="shared" si="11"/>
        <v>平面位置/可视性</v>
      </c>
      <c r="R26" s="667" t="s">
        <v>14</v>
      </c>
      <c r="S26" s="668">
        <f>F26</f>
        <v>100</v>
      </c>
      <c r="T26" s="667" t="s">
        <v>14</v>
      </c>
      <c r="U26" s="668">
        <f>H26</f>
        <v>100</v>
      </c>
      <c r="V26" s="667" t="s">
        <v>14</v>
      </c>
      <c r="W26" s="668">
        <f>J26</f>
        <v>100</v>
      </c>
      <c r="X26" s="1265"/>
      <c r="Y26" s="3575"/>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82"/>
      <c r="Q27" s="530" t="str">
        <f t="shared" si="11"/>
        <v>人流量</v>
      </c>
      <c r="R27" s="664" t="s">
        <v>14</v>
      </c>
      <c r="S27" s="665">
        <f>F27</f>
        <v>100</v>
      </c>
      <c r="T27" s="664" t="s">
        <v>14</v>
      </c>
      <c r="U27" s="665">
        <f>H27</f>
        <v>100</v>
      </c>
      <c r="V27" s="664" t="s">
        <v>14</v>
      </c>
      <c r="W27" s="665">
        <f>J27</f>
        <v>100</v>
      </c>
      <c r="X27" s="666"/>
      <c r="Y27" s="3575"/>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82"/>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75"/>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82"/>
      <c r="Q29" s="1263" t="str">
        <f t="shared" si="11"/>
        <v>道路级别</v>
      </c>
      <c r="R29" s="667" t="s">
        <v>14</v>
      </c>
      <c r="S29" s="668">
        <f t="shared" si="12"/>
        <v>100</v>
      </c>
      <c r="T29" s="667" t="s">
        <v>14</v>
      </c>
      <c r="U29" s="668">
        <f t="shared" si="13"/>
        <v>98</v>
      </c>
      <c r="V29" s="667" t="s">
        <v>14</v>
      </c>
      <c r="W29" s="668">
        <f t="shared" si="14"/>
        <v>98</v>
      </c>
      <c r="X29" s="1265"/>
      <c r="Y29" s="3575"/>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82"/>
      <c r="Q30" s="1263">
        <f t="shared" si="11"/>
        <v>111</v>
      </c>
      <c r="R30" s="667" t="s">
        <v>14</v>
      </c>
      <c r="S30" s="668">
        <f t="shared" si="12"/>
        <v>100</v>
      </c>
      <c r="T30" s="667" t="s">
        <v>14</v>
      </c>
      <c r="U30" s="668">
        <f t="shared" si="13"/>
        <v>100</v>
      </c>
      <c r="V30" s="667" t="s">
        <v>14</v>
      </c>
      <c r="W30" s="668">
        <f t="shared" si="14"/>
        <v>100</v>
      </c>
      <c r="X30" s="1265"/>
      <c r="Y30" s="357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82"/>
      <c r="Q31" s="1263">
        <f t="shared" si="11"/>
        <v>111</v>
      </c>
      <c r="R31" s="667" t="s">
        <v>14</v>
      </c>
      <c r="S31" s="668">
        <f t="shared" si="12"/>
        <v>100</v>
      </c>
      <c r="T31" s="667" t="s">
        <v>14</v>
      </c>
      <c r="U31" s="668">
        <f t="shared" si="13"/>
        <v>100</v>
      </c>
      <c r="V31" s="667" t="s">
        <v>14</v>
      </c>
      <c r="W31" s="668">
        <f t="shared" si="14"/>
        <v>100</v>
      </c>
      <c r="X31" s="1265"/>
      <c r="Y31" s="3575"/>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76" t="s">
        <v>1696</v>
      </c>
      <c r="Q32" s="1263" t="str">
        <f t="shared" si="11"/>
        <v>商业类型</v>
      </c>
      <c r="R32" s="667" t="s">
        <v>14</v>
      </c>
      <c r="S32" s="668">
        <f t="shared" si="12"/>
        <v>102</v>
      </c>
      <c r="T32" s="667" t="s">
        <v>14</v>
      </c>
      <c r="U32" s="668">
        <f t="shared" si="13"/>
        <v>100</v>
      </c>
      <c r="V32" s="667" t="s">
        <v>14</v>
      </c>
      <c r="W32" s="668">
        <f t="shared" si="14"/>
        <v>100</v>
      </c>
      <c r="X32" s="1265"/>
      <c r="Y32" s="3579"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77"/>
      <c r="Q33" s="531" t="str">
        <f t="shared" si="11"/>
        <v>项目建筑规模</v>
      </c>
      <c r="R33" s="669" t="s">
        <v>14</v>
      </c>
      <c r="S33" s="670">
        <f t="shared" si="12"/>
        <v>96</v>
      </c>
      <c r="T33" s="669" t="s">
        <v>14</v>
      </c>
      <c r="U33" s="670">
        <f t="shared" si="13"/>
        <v>98</v>
      </c>
      <c r="V33" s="669" t="s">
        <v>14</v>
      </c>
      <c r="W33" s="670">
        <f t="shared" si="14"/>
        <v>98</v>
      </c>
      <c r="X33" s="671"/>
      <c r="Y33" s="3579"/>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77"/>
      <c r="Q34" s="1263" t="str">
        <f t="shared" si="11"/>
        <v>建筑结构</v>
      </c>
      <c r="R34" s="667" t="s">
        <v>14</v>
      </c>
      <c r="S34" s="668">
        <f t="shared" si="12"/>
        <v>100</v>
      </c>
      <c r="T34" s="667" t="s">
        <v>14</v>
      </c>
      <c r="U34" s="668">
        <f t="shared" si="13"/>
        <v>100</v>
      </c>
      <c r="V34" s="667" t="s">
        <v>14</v>
      </c>
      <c r="W34" s="668">
        <f t="shared" si="14"/>
        <v>100</v>
      </c>
      <c r="X34" s="1265"/>
      <c r="Y34" s="3579"/>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77"/>
      <c r="Q35" s="1263" t="str">
        <f t="shared" si="11"/>
        <v>公共部分装修</v>
      </c>
      <c r="R35" s="667" t="s">
        <v>14</v>
      </c>
      <c r="S35" s="668">
        <f t="shared" si="12"/>
        <v>100</v>
      </c>
      <c r="T35" s="667" t="s">
        <v>14</v>
      </c>
      <c r="U35" s="668">
        <f t="shared" si="13"/>
        <v>100</v>
      </c>
      <c r="V35" s="667" t="s">
        <v>14</v>
      </c>
      <c r="W35" s="668">
        <f t="shared" si="14"/>
        <v>100</v>
      </c>
      <c r="X35" s="1265"/>
      <c r="Y35" s="3579"/>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77"/>
      <c r="Q36" s="1263" t="str">
        <f t="shared" si="11"/>
        <v>成新度</v>
      </c>
      <c r="R36" s="667" t="s">
        <v>14</v>
      </c>
      <c r="S36" s="668">
        <f t="shared" si="12"/>
        <v>100</v>
      </c>
      <c r="T36" s="667" t="s">
        <v>14</v>
      </c>
      <c r="U36" s="668">
        <f t="shared" si="13"/>
        <v>100</v>
      </c>
      <c r="V36" s="667" t="s">
        <v>14</v>
      </c>
      <c r="W36" s="668">
        <f t="shared" si="14"/>
        <v>100</v>
      </c>
      <c r="X36" s="1265"/>
      <c r="Y36" s="3579"/>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77"/>
      <c r="Q37" s="530" t="str">
        <f t="shared" si="11"/>
        <v>市政基础设施</v>
      </c>
      <c r="R37" s="664" t="s">
        <v>14</v>
      </c>
      <c r="S37" s="665">
        <f t="shared" si="12"/>
        <v>100</v>
      </c>
      <c r="T37" s="664" t="s">
        <v>14</v>
      </c>
      <c r="U37" s="665">
        <f t="shared" si="13"/>
        <v>100</v>
      </c>
      <c r="V37" s="664" t="s">
        <v>14</v>
      </c>
      <c r="W37" s="665">
        <f t="shared" si="14"/>
        <v>100</v>
      </c>
      <c r="X37" s="666"/>
      <c r="Y37" s="357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77" t="s">
        <v>1696</v>
      </c>
      <c r="Q38" s="1263" t="str">
        <f t="shared" si="11"/>
        <v>业态</v>
      </c>
      <c r="R38" s="667" t="s">
        <v>14</v>
      </c>
      <c r="S38" s="668">
        <f t="shared" si="12"/>
        <v>100</v>
      </c>
      <c r="T38" s="667" t="s">
        <v>14</v>
      </c>
      <c r="U38" s="668">
        <f t="shared" si="13"/>
        <v>100</v>
      </c>
      <c r="V38" s="667" t="s">
        <v>14</v>
      </c>
      <c r="W38" s="668">
        <f t="shared" si="14"/>
        <v>100</v>
      </c>
      <c r="X38" s="1265"/>
      <c r="Y38" s="3579"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77"/>
      <c r="Q39" s="1263" t="str">
        <f t="shared" si="11"/>
        <v>层高</v>
      </c>
      <c r="R39" s="667" t="s">
        <v>14</v>
      </c>
      <c r="S39" s="668">
        <f t="shared" si="12"/>
        <v>100</v>
      </c>
      <c r="T39" s="667" t="s">
        <v>14</v>
      </c>
      <c r="U39" s="668">
        <f t="shared" si="13"/>
        <v>100</v>
      </c>
      <c r="V39" s="667" t="s">
        <v>14</v>
      </c>
      <c r="W39" s="668">
        <f t="shared" si="14"/>
        <v>100</v>
      </c>
      <c r="X39" s="1265"/>
      <c r="Y39" s="357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77"/>
      <c r="Q40" s="1263" t="str">
        <f t="shared" si="11"/>
        <v>单套建筑面积</v>
      </c>
      <c r="R40" s="667" t="s">
        <v>14</v>
      </c>
      <c r="S40" s="668">
        <f t="shared" si="12"/>
        <v>100</v>
      </c>
      <c r="T40" s="667" t="s">
        <v>14</v>
      </c>
      <c r="U40" s="668">
        <f t="shared" si="13"/>
        <v>100</v>
      </c>
      <c r="V40" s="667" t="s">
        <v>14</v>
      </c>
      <c r="W40" s="668">
        <f t="shared" si="14"/>
        <v>100</v>
      </c>
      <c r="X40" s="1265"/>
      <c r="Y40" s="35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77"/>
      <c r="Q41" s="531" t="str">
        <f t="shared" si="11"/>
        <v>进深比</v>
      </c>
      <c r="R41" s="669" t="s">
        <v>14</v>
      </c>
      <c r="S41" s="670">
        <f t="shared" si="12"/>
        <v>100</v>
      </c>
      <c r="T41" s="669" t="s">
        <v>14</v>
      </c>
      <c r="U41" s="670">
        <f t="shared" si="13"/>
        <v>100</v>
      </c>
      <c r="V41" s="669" t="s">
        <v>14</v>
      </c>
      <c r="W41" s="670">
        <f t="shared" si="14"/>
        <v>100</v>
      </c>
      <c r="X41" s="671"/>
      <c r="Y41" s="3579"/>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77"/>
      <c r="Q42" s="1263" t="str">
        <f t="shared" si="11"/>
        <v>内部装修</v>
      </c>
      <c r="R42" s="667" t="s">
        <v>14</v>
      </c>
      <c r="S42" s="668">
        <f t="shared" si="12"/>
        <v>100</v>
      </c>
      <c r="T42" s="667" t="s">
        <v>14</v>
      </c>
      <c r="U42" s="668">
        <f t="shared" si="13"/>
        <v>100</v>
      </c>
      <c r="V42" s="667" t="s">
        <v>14</v>
      </c>
      <c r="W42" s="668">
        <f t="shared" si="14"/>
        <v>100</v>
      </c>
      <c r="X42" s="1265"/>
      <c r="Y42" s="3579"/>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77"/>
      <c r="Q43" s="1263" t="str">
        <f t="shared" si="11"/>
        <v>内部装修维护情况</v>
      </c>
      <c r="R43" s="667" t="s">
        <v>14</v>
      </c>
      <c r="S43" s="668">
        <f t="shared" si="12"/>
        <v>100</v>
      </c>
      <c r="T43" s="667" t="s">
        <v>14</v>
      </c>
      <c r="U43" s="668">
        <f t="shared" si="13"/>
        <v>100</v>
      </c>
      <c r="V43" s="667" t="s">
        <v>14</v>
      </c>
      <c r="W43" s="668">
        <f t="shared" si="14"/>
        <v>100</v>
      </c>
      <c r="X43" s="1265"/>
      <c r="Y43" s="3579"/>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77"/>
      <c r="Q44" s="530">
        <f t="shared" si="11"/>
        <v>0</v>
      </c>
      <c r="R44" s="664" t="s">
        <v>14</v>
      </c>
      <c r="S44" s="665">
        <f t="shared" si="12"/>
        <v>100</v>
      </c>
      <c r="T44" s="664" t="s">
        <v>14</v>
      </c>
      <c r="U44" s="665">
        <f t="shared" si="13"/>
        <v>100</v>
      </c>
      <c r="V44" s="664" t="s">
        <v>14</v>
      </c>
      <c r="W44" s="665">
        <f t="shared" si="14"/>
        <v>100</v>
      </c>
      <c r="X44" s="666"/>
      <c r="Y44" s="3579"/>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77"/>
      <c r="Q45" s="1263">
        <f t="shared" si="11"/>
        <v>111</v>
      </c>
      <c r="R45" s="667" t="s">
        <v>14</v>
      </c>
      <c r="S45" s="668">
        <f t="shared" si="12"/>
        <v>100</v>
      </c>
      <c r="T45" s="667" t="s">
        <v>14</v>
      </c>
      <c r="U45" s="668">
        <f t="shared" si="13"/>
        <v>100</v>
      </c>
      <c r="V45" s="667" t="s">
        <v>14</v>
      </c>
      <c r="W45" s="668">
        <f t="shared" si="14"/>
        <v>100</v>
      </c>
      <c r="X45" s="1265"/>
      <c r="Y45" s="357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78"/>
      <c r="Q46" s="1263">
        <f t="shared" si="11"/>
        <v>111</v>
      </c>
      <c r="R46" s="667" t="s">
        <v>14</v>
      </c>
      <c r="S46" s="668">
        <f t="shared" si="12"/>
        <v>100</v>
      </c>
      <c r="T46" s="667" t="s">
        <v>14</v>
      </c>
      <c r="U46" s="668">
        <f t="shared" si="13"/>
        <v>100</v>
      </c>
      <c r="V46" s="667" t="s">
        <v>14</v>
      </c>
      <c r="W46" s="668">
        <f t="shared" si="14"/>
        <v>100</v>
      </c>
      <c r="X46" s="1265"/>
      <c r="Y46" s="3580"/>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73" t="str">
        <f>A47</f>
        <v>成交单价（元/平方米）</v>
      </c>
      <c r="Q47" s="3573"/>
      <c r="R47" s="3568">
        <f>E47</f>
        <v>11.63</v>
      </c>
      <c r="S47" s="3568"/>
      <c r="T47" s="3568">
        <f>G47</f>
        <v>11.5</v>
      </c>
      <c r="U47" s="3568"/>
      <c r="V47" s="3568">
        <f>I47</f>
        <v>11.28</v>
      </c>
      <c r="W47" s="356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73" t="str">
        <f>A48</f>
        <v>比较价值（元/平方米）</v>
      </c>
      <c r="Q48" s="3573"/>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70" t="str">
        <f>A49</f>
        <v>估价对象XX用房的比较价值（楼面单价，元/平方米）</v>
      </c>
      <c r="Q49" s="3571"/>
      <c r="R49" s="3572" t="e">
        <f>IF(F1="售价",ROUND(IF(D48="简单平均",AVERAGE(R48:V48),R48*F48+T48*H48+V48*J48),0),ROUND(IF(D48="简单平均",AVERAGE(R48:V48),R48*F48+T48*H48+V48*J48),1))</f>
        <v>#DIV/0!</v>
      </c>
      <c r="S49" s="3572"/>
      <c r="T49" s="3572"/>
      <c r="U49" s="3572"/>
      <c r="V49" s="3572"/>
      <c r="W49" s="357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45880</v>
      </c>
      <c r="B1" s="2929" t="s">
        <v>3374</v>
      </c>
      <c r="C1" s="2930"/>
      <c r="D1" s="2930"/>
      <c r="E1" s="2930"/>
      <c r="F1" s="2930"/>
      <c r="G1" s="2930"/>
      <c r="H1" s="2930"/>
      <c r="I1" s="2930"/>
      <c r="J1" s="2896"/>
      <c r="K1" s="2930" t="s">
        <v>454</v>
      </c>
      <c r="L1" s="2930"/>
      <c r="M1" s="2930"/>
      <c r="N1" s="2930"/>
      <c r="O1" s="2930"/>
      <c r="P1" s="2930"/>
      <c r="Q1" s="2896"/>
      <c r="R1" s="3648" t="s">
        <v>456</v>
      </c>
      <c r="S1" s="3649"/>
      <c r="T1" s="3649"/>
      <c r="U1" s="3649"/>
      <c r="V1" s="3649"/>
      <c r="W1" s="3649"/>
      <c r="X1" s="2896"/>
      <c r="Y1" s="3648" t="s">
        <v>457</v>
      </c>
      <c r="Z1" s="3649"/>
      <c r="AA1" s="3649"/>
      <c r="AB1" s="3649"/>
      <c r="AC1" s="3649"/>
      <c r="AD1" s="3649"/>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48" t="s">
        <v>2825</v>
      </c>
      <c r="S29" s="3649"/>
      <c r="T29" s="3649"/>
      <c r="U29" s="3649"/>
      <c r="V29" s="3649"/>
      <c r="W29" s="3649"/>
      <c r="X29" s="2896"/>
      <c r="Y29" s="3648" t="s">
        <v>2826</v>
      </c>
      <c r="Z29" s="3649"/>
      <c r="AA29" s="3649"/>
      <c r="AB29" s="3649"/>
      <c r="AC29" s="3649"/>
      <c r="AD29" s="3649"/>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53" t="s">
        <v>452</v>
      </c>
      <c r="C1" s="3653"/>
      <c r="D1" s="3653"/>
      <c r="E1" s="3653"/>
      <c r="F1" s="3653"/>
      <c r="G1" s="3649" t="s">
        <v>453</v>
      </c>
      <c r="H1" s="3649"/>
      <c r="I1" s="3649"/>
      <c r="J1" s="3649"/>
      <c r="K1" s="3649"/>
      <c r="L1" s="3649"/>
      <c r="N1" s="3649" t="s">
        <v>454</v>
      </c>
      <c r="O1" s="3649"/>
      <c r="P1" s="3649"/>
      <c r="Q1" s="3649"/>
      <c r="S1" s="3649" t="s">
        <v>455</v>
      </c>
      <c r="T1" s="3649"/>
      <c r="U1" s="3649"/>
      <c r="V1" s="3649"/>
      <c r="X1" s="3648" t="s">
        <v>456</v>
      </c>
      <c r="Y1" s="3649"/>
      <c r="Z1" s="3649"/>
      <c r="AA1" s="3649"/>
      <c r="AB1" s="3649"/>
      <c r="AD1" s="3648" t="s">
        <v>457</v>
      </c>
      <c r="AE1" s="3649"/>
      <c r="AF1" s="3649"/>
      <c r="AG1" s="3649"/>
      <c r="AH1" s="364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5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5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5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5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5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5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5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5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5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5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5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5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5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5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5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5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5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5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5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5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5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5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5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5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5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5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5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5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5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5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5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5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5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5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5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5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5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5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5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5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5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5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5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5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5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5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5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5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5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5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5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5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5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5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5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5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5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5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5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5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5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5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5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5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5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5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5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5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61" t="s">
        <v>2837</v>
      </c>
      <c r="B1" s="3661"/>
      <c r="C1" s="3661"/>
      <c r="D1" s="3661"/>
      <c r="E1" s="3661"/>
      <c r="F1" s="3661"/>
      <c r="G1" s="3662"/>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59"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60"/>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97" t="str">
        <f>IF(项目基本情况!B9="房地产市场价值","估价结果一览表","结果表-2")</f>
        <v>估价结果一览表</v>
      </c>
      <c r="B1" s="3297"/>
      <c r="C1" s="3297"/>
      <c r="D1" s="3297"/>
      <c r="E1" s="3297"/>
      <c r="F1" s="3297"/>
      <c r="G1" s="3297"/>
      <c r="H1" s="3297"/>
      <c r="I1" s="3297"/>
    </row>
    <row r="2" spans="1:9" ht="30" customHeight="1" thickTop="1">
      <c r="A2" s="3298" t="s">
        <v>928</v>
      </c>
      <c r="B2" s="3298" t="s">
        <v>929</v>
      </c>
      <c r="C2" s="3298" t="s">
        <v>930</v>
      </c>
      <c r="D2" s="3298" t="str">
        <f>结果表!D116</f>
        <v>出让国有建设用地使用权价值</v>
      </c>
      <c r="E2" s="3298"/>
      <c r="F2" s="3298" t="str">
        <f>结果表!F116</f>
        <v>在建建筑物价值</v>
      </c>
      <c r="G2" s="3298"/>
      <c r="H2" s="3298" t="str">
        <f>IF(项目基本情况!B9="房地产市场价值","房地产市场价值","房地产价值")</f>
        <v>房地产市场价值</v>
      </c>
      <c r="I2" s="3298"/>
    </row>
    <row r="3" spans="1:9" ht="15">
      <c r="A3" s="3299"/>
      <c r="B3" s="3299"/>
      <c r="C3" s="3299"/>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99" t="s">
        <v>927</v>
      </c>
      <c r="B5" s="3299"/>
      <c r="C5" s="3299"/>
      <c r="D5" s="3299" t="e">
        <f ca="1">结果表!D119</f>
        <v>#REF!</v>
      </c>
      <c r="E5" s="3299"/>
      <c r="F5" s="3299" t="e">
        <f ca="1">结果表!F119</f>
        <v>#REF!</v>
      </c>
      <c r="G5" s="3299"/>
      <c r="H5" s="3299" t="e">
        <f ca="1">结果表!H119</f>
        <v>#REF!</v>
      </c>
      <c r="I5" s="3299"/>
    </row>
    <row r="6" spans="1:9" ht="15.75">
      <c r="A6" s="3300" t="str">
        <f>结果表!A120</f>
        <v/>
      </c>
      <c r="B6" s="3300"/>
      <c r="C6" s="3300"/>
      <c r="D6" s="3300">
        <f>结果表!D120</f>
        <v>0</v>
      </c>
      <c r="E6" s="3300"/>
      <c r="F6" s="3300"/>
      <c r="G6" s="3300"/>
      <c r="H6" s="3300"/>
      <c r="I6" s="3300"/>
    </row>
    <row r="7" spans="1:9" ht="15">
      <c r="A7" s="3299" t="s">
        <v>927</v>
      </c>
      <c r="B7" s="3299"/>
      <c r="C7" s="3299"/>
      <c r="D7" s="3301" t="str">
        <f>结果表!D121</f>
        <v>零元整</v>
      </c>
      <c r="E7" s="3302"/>
      <c r="F7" s="3302"/>
      <c r="G7" s="3302"/>
      <c r="H7" s="3302"/>
      <c r="I7" s="3303"/>
    </row>
    <row r="8" spans="1:9" ht="15.75">
      <c r="A8" s="3300" t="str">
        <f>结果表!A122</f>
        <v/>
      </c>
      <c r="B8" s="3300"/>
      <c r="C8" s="3300"/>
      <c r="D8" s="3300" t="e">
        <f ca="1">结果表!D122</f>
        <v>#REF!</v>
      </c>
      <c r="E8" s="3300"/>
      <c r="F8" s="3300"/>
      <c r="G8" s="3300"/>
      <c r="H8" s="3300"/>
      <c r="I8" s="3300"/>
    </row>
    <row r="9" spans="1:9" ht="15">
      <c r="A9" s="3299" t="s">
        <v>927</v>
      </c>
      <c r="B9" s="3299"/>
      <c r="C9" s="3299"/>
      <c r="D9" s="3299" t="e">
        <f ca="1">结果表!D123</f>
        <v>#REF!</v>
      </c>
      <c r="E9" s="3299"/>
      <c r="F9" s="3299"/>
      <c r="G9" s="3299"/>
      <c r="H9" s="3299"/>
      <c r="I9" s="3299"/>
    </row>
    <row r="10" spans="1:9" ht="15.75">
      <c r="A10" s="3300" t="str">
        <f>结果表!A124</f>
        <v/>
      </c>
      <c r="B10" s="3300"/>
      <c r="C10" s="3300"/>
      <c r="D10" s="3300" t="str">
        <f>结果表!D124</f>
        <v>——</v>
      </c>
      <c r="E10" s="3300"/>
      <c r="F10" s="3300"/>
      <c r="G10" s="3300"/>
      <c r="H10" s="3300"/>
      <c r="I10" s="3300"/>
    </row>
    <row r="11" spans="1:9" ht="15">
      <c r="A11" s="3299" t="s">
        <v>927</v>
      </c>
      <c r="B11" s="3299"/>
      <c r="C11" s="3299"/>
      <c r="D11" s="3299" t="e">
        <f>结果表!D125</f>
        <v>#VALUE!</v>
      </c>
      <c r="E11" s="3299"/>
      <c r="F11" s="3299"/>
      <c r="G11" s="3299"/>
      <c r="H11" s="3299"/>
      <c r="I11" s="3299"/>
    </row>
    <row r="12" spans="1:9" ht="15.75">
      <c r="A12" s="3300" t="str">
        <f>结果表!A126</f>
        <v/>
      </c>
      <c r="B12" s="3300"/>
      <c r="C12" s="3300"/>
      <c r="D12" s="3300" t="str">
        <f>结果表!D126</f>
        <v>——</v>
      </c>
      <c r="E12" s="3300"/>
      <c r="F12" s="3300"/>
      <c r="G12" s="3300"/>
      <c r="H12" s="3300"/>
      <c r="I12" s="3300"/>
    </row>
    <row r="13" spans="1:9" ht="15.75" thickBot="1">
      <c r="A13" s="3304" t="s">
        <v>927</v>
      </c>
      <c r="B13" s="3304"/>
      <c r="C13" s="3304"/>
      <c r="D13" s="3304" t="e">
        <f>结果表!D127</f>
        <v>#VALUE!</v>
      </c>
      <c r="E13" s="3304"/>
      <c r="F13" s="3304"/>
      <c r="G13" s="3304"/>
      <c r="H13" s="3304"/>
      <c r="I13" s="3304"/>
    </row>
    <row r="14" spans="1:9" ht="15" thickTop="1">
      <c r="A14" s="3305" t="s">
        <v>932</v>
      </c>
      <c r="B14" s="3305"/>
      <c r="C14" s="3305"/>
      <c r="D14" s="3305"/>
      <c r="E14" s="3305"/>
      <c r="F14" s="3305"/>
      <c r="G14" s="3305"/>
      <c r="H14" s="3305"/>
      <c r="I14" s="330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45880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49"/>
  </cols>
  <sheetData>
    <row r="1" spans="1:4" ht="18.75">
      <c r="A1" s="3663" t="s">
        <v>3868</v>
      </c>
      <c r="B1" s="3663"/>
      <c r="C1" s="3663"/>
      <c r="D1" s="3663"/>
    </row>
    <row r="2" spans="1:4">
      <c r="A2" s="3250" t="s">
        <v>3869</v>
      </c>
      <c r="B2" s="3250" t="s">
        <v>3870</v>
      </c>
      <c r="C2" s="3250" t="s">
        <v>3871</v>
      </c>
      <c r="D2" s="3250" t="s">
        <v>3872</v>
      </c>
    </row>
    <row r="3" spans="1:4">
      <c r="A3" s="3251">
        <v>1</v>
      </c>
      <c r="B3" s="3252" t="s">
        <v>3873</v>
      </c>
      <c r="C3" s="3253">
        <v>11.63</v>
      </c>
      <c r="D3" s="3251"/>
    </row>
    <row r="4" spans="1:4">
      <c r="A4" s="3251">
        <v>2</v>
      </c>
      <c r="B4" s="3252" t="s">
        <v>3874</v>
      </c>
      <c r="C4" s="3253">
        <v>7.99</v>
      </c>
      <c r="D4" s="3251"/>
    </row>
    <row r="5" spans="1:4">
      <c r="A5" s="3251">
        <v>3</v>
      </c>
      <c r="B5" s="3252" t="s">
        <v>3875</v>
      </c>
      <c r="C5" s="3253">
        <v>11.83</v>
      </c>
      <c r="D5" s="3251"/>
    </row>
    <row r="6" spans="1:4">
      <c r="A6" s="3251">
        <v>4</v>
      </c>
      <c r="B6" s="3252" t="s">
        <v>3876</v>
      </c>
      <c r="C6" s="3253">
        <v>5.42</v>
      </c>
      <c r="D6" s="3251"/>
    </row>
    <row r="7" spans="1:4">
      <c r="A7" s="3251">
        <v>5</v>
      </c>
      <c r="B7" s="3252" t="s">
        <v>3877</v>
      </c>
      <c r="C7" s="3254">
        <v>8.61</v>
      </c>
      <c r="D7" s="3251"/>
    </row>
    <row r="8" spans="1:4">
      <c r="A8" s="3251">
        <v>6</v>
      </c>
      <c r="B8" s="3252" t="s">
        <v>3878</v>
      </c>
      <c r="C8" s="3253">
        <v>11.63</v>
      </c>
      <c r="D8" s="3251"/>
    </row>
    <row r="9" spans="1:4">
      <c r="A9" s="3251">
        <v>7</v>
      </c>
      <c r="B9" s="3252" t="s">
        <v>3879</v>
      </c>
      <c r="C9" s="3253">
        <v>7.76</v>
      </c>
      <c r="D9" s="3251"/>
    </row>
    <row r="10" spans="1:4">
      <c r="A10" s="3251">
        <v>8</v>
      </c>
      <c r="B10" s="3252" t="s">
        <v>3880</v>
      </c>
      <c r="C10" s="3253">
        <v>23.74</v>
      </c>
      <c r="D10" s="3251"/>
    </row>
    <row r="11" spans="1:4">
      <c r="A11" s="3251">
        <v>9</v>
      </c>
      <c r="B11" s="3252" t="s">
        <v>3881</v>
      </c>
      <c r="C11" s="3253">
        <v>15.09</v>
      </c>
      <c r="D11" s="3251"/>
    </row>
    <row r="12" spans="1:4">
      <c r="A12" s="3251">
        <v>10</v>
      </c>
      <c r="B12" s="3252" t="s">
        <v>3882</v>
      </c>
      <c r="C12" s="3253">
        <v>14.45</v>
      </c>
      <c r="D12" s="3251"/>
    </row>
    <row r="13" spans="1:4">
      <c r="A13" s="3251">
        <v>11</v>
      </c>
      <c r="B13" s="3252" t="s">
        <v>3883</v>
      </c>
      <c r="C13" s="3253">
        <v>6.96</v>
      </c>
      <c r="D13" s="3251"/>
    </row>
    <row r="14" spans="1:4">
      <c r="A14" s="3251">
        <v>12</v>
      </c>
      <c r="B14" s="3252" t="s">
        <v>3884</v>
      </c>
      <c r="C14" s="3253">
        <v>5.77</v>
      </c>
      <c r="D14" s="3251"/>
    </row>
    <row r="15" spans="1:4">
      <c r="A15" s="3251">
        <v>13</v>
      </c>
      <c r="B15" s="3252" t="s">
        <v>3885</v>
      </c>
      <c r="C15" s="3253">
        <v>3.73</v>
      </c>
      <c r="D15" s="3251"/>
    </row>
    <row r="16" spans="1:4">
      <c r="A16" s="3251">
        <v>14</v>
      </c>
      <c r="B16" s="3252" t="s">
        <v>3886</v>
      </c>
      <c r="C16" s="3253">
        <v>12.81</v>
      </c>
      <c r="D16" s="3251"/>
    </row>
    <row r="17" spans="1:4">
      <c r="A17" s="3251">
        <v>15</v>
      </c>
      <c r="B17" s="3252" t="s">
        <v>3887</v>
      </c>
      <c r="C17" s="3253">
        <v>12.11</v>
      </c>
      <c r="D17" s="3251"/>
    </row>
    <row r="18" spans="1:4">
      <c r="A18" s="3251">
        <v>16</v>
      </c>
      <c r="B18" s="3252" t="s">
        <v>3888</v>
      </c>
      <c r="C18" s="3253">
        <v>12.11</v>
      </c>
      <c r="D18" s="3251"/>
    </row>
    <row r="19" spans="1:4">
      <c r="A19" s="3251">
        <v>17</v>
      </c>
      <c r="B19" s="3252" t="s">
        <v>3889</v>
      </c>
      <c r="C19" s="3253">
        <v>12.81</v>
      </c>
      <c r="D19" s="3251"/>
    </row>
    <row r="20" spans="1:4">
      <c r="A20" s="3251">
        <v>18</v>
      </c>
      <c r="B20" s="3252" t="s">
        <v>3890</v>
      </c>
      <c r="C20" s="3253">
        <v>3.73</v>
      </c>
      <c r="D20" s="3251"/>
    </row>
    <row r="21" spans="1:4">
      <c r="A21" s="3251">
        <v>19</v>
      </c>
      <c r="B21" s="3252" t="s">
        <v>3891</v>
      </c>
      <c r="C21" s="3253">
        <v>6.96</v>
      </c>
      <c r="D21" s="3251"/>
    </row>
    <row r="22" spans="1:4">
      <c r="A22" s="3251">
        <v>20</v>
      </c>
      <c r="B22" s="3252" t="s">
        <v>3892</v>
      </c>
      <c r="C22" s="3253">
        <v>14.45</v>
      </c>
      <c r="D22" s="3251"/>
    </row>
    <row r="23" spans="1:4">
      <c r="A23" s="3251">
        <v>21</v>
      </c>
      <c r="B23" s="3252" t="s">
        <v>3893</v>
      </c>
      <c r="C23" s="3253">
        <v>15.09</v>
      </c>
      <c r="D23" s="3251"/>
    </row>
    <row r="24" spans="1:4">
      <c r="A24" s="3251">
        <v>22</v>
      </c>
      <c r="B24" s="3252" t="s">
        <v>3894</v>
      </c>
      <c r="C24" s="3253">
        <v>5.77</v>
      </c>
      <c r="D24" s="3251"/>
    </row>
    <row r="25" spans="1:4">
      <c r="A25" s="3251">
        <v>23</v>
      </c>
      <c r="B25" s="3252" t="s">
        <v>3895</v>
      </c>
      <c r="C25" s="3253">
        <v>23.48</v>
      </c>
      <c r="D25" s="3251"/>
    </row>
    <row r="26" spans="1:4">
      <c r="A26" s="3251">
        <v>24</v>
      </c>
      <c r="B26" s="3252" t="s">
        <v>3896</v>
      </c>
      <c r="C26" s="3253">
        <v>7.68</v>
      </c>
      <c r="D26" s="3251"/>
    </row>
    <row r="27" spans="1:4">
      <c r="A27" s="3251">
        <v>25</v>
      </c>
      <c r="B27" s="3252" t="s">
        <v>3897</v>
      </c>
      <c r="C27" s="3253">
        <v>9.5</v>
      </c>
      <c r="D27" s="3251"/>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49"/>
  </cols>
  <sheetData>
    <row r="1" spans="1:4" ht="18.75">
      <c r="A1" s="3663" t="s">
        <v>3898</v>
      </c>
      <c r="B1" s="3663"/>
      <c r="C1" s="3663"/>
      <c r="D1" s="3663"/>
    </row>
    <row r="2" spans="1:4">
      <c r="A2" s="3250" t="s">
        <v>3869</v>
      </c>
      <c r="B2" s="3250" t="s">
        <v>3870</v>
      </c>
      <c r="C2" s="3250" t="s">
        <v>3871</v>
      </c>
      <c r="D2" s="3250" t="s">
        <v>3872</v>
      </c>
    </row>
    <row r="3" spans="1:4">
      <c r="A3" s="3251">
        <v>1</v>
      </c>
      <c r="B3" s="3252" t="s">
        <v>3879</v>
      </c>
      <c r="C3" s="3253">
        <v>5.31</v>
      </c>
      <c r="D3" s="3251"/>
    </row>
    <row r="4" spans="1:4">
      <c r="A4" s="3251">
        <v>2</v>
      </c>
      <c r="B4" s="3252" t="s">
        <v>3880</v>
      </c>
      <c r="C4" s="3253">
        <v>6.32</v>
      </c>
      <c r="D4" s="3251"/>
    </row>
    <row r="5" spans="1:4">
      <c r="A5" s="3251">
        <v>3</v>
      </c>
      <c r="B5" s="3252" t="s">
        <v>3881</v>
      </c>
      <c r="C5" s="3253">
        <v>16.73</v>
      </c>
      <c r="D5" s="3251"/>
    </row>
    <row r="6" spans="1:4">
      <c r="A6" s="3251">
        <v>4</v>
      </c>
      <c r="B6" s="3252" t="s">
        <v>3882</v>
      </c>
      <c r="C6" s="3253">
        <v>16.73</v>
      </c>
      <c r="D6" s="3251"/>
    </row>
    <row r="7" spans="1:4">
      <c r="A7" s="3251">
        <v>5</v>
      </c>
      <c r="B7" s="3252" t="s">
        <v>3883</v>
      </c>
      <c r="C7" s="3253">
        <v>6.9</v>
      </c>
      <c r="D7" s="3251"/>
    </row>
    <row r="8" spans="1:4">
      <c r="A8" s="3251">
        <v>6</v>
      </c>
      <c r="B8" s="3252" t="s">
        <v>3884</v>
      </c>
      <c r="C8" s="3253">
        <v>9.33</v>
      </c>
      <c r="D8" s="3251"/>
    </row>
    <row r="9" spans="1:4">
      <c r="A9" s="3251">
        <v>7</v>
      </c>
      <c r="B9" s="3252" t="s">
        <v>3885</v>
      </c>
      <c r="C9" s="3253">
        <v>16.73</v>
      </c>
      <c r="D9" s="3251"/>
    </row>
    <row r="10" spans="1:4">
      <c r="A10" s="3251">
        <v>8</v>
      </c>
      <c r="B10" s="3252" t="s">
        <v>3886</v>
      </c>
      <c r="C10" s="3253">
        <v>16.73</v>
      </c>
      <c r="D10" s="3251"/>
    </row>
    <row r="11" spans="1:4">
      <c r="A11" s="3251">
        <v>9</v>
      </c>
      <c r="B11" s="3252" t="s">
        <v>3887</v>
      </c>
      <c r="C11" s="3253">
        <v>6.32</v>
      </c>
      <c r="D11" s="3251"/>
    </row>
    <row r="12" spans="1:4">
      <c r="A12" s="3251">
        <v>10</v>
      </c>
      <c r="B12" s="3252" t="s">
        <v>3888</v>
      </c>
      <c r="C12" s="3253">
        <v>11.64</v>
      </c>
      <c r="D12" s="3251"/>
    </row>
    <row r="13" spans="1:4">
      <c r="A13" s="3251">
        <v>11</v>
      </c>
      <c r="B13" s="3252" t="s">
        <v>3889</v>
      </c>
      <c r="C13" s="3253">
        <v>18.93</v>
      </c>
      <c r="D13" s="3251"/>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49"/>
  </cols>
  <sheetData>
    <row r="1" spans="1:4" ht="18.75">
      <c r="A1" s="3663" t="s">
        <v>3899</v>
      </c>
      <c r="B1" s="3663"/>
      <c r="C1" s="3663"/>
      <c r="D1" s="3663"/>
    </row>
    <row r="2" spans="1:4">
      <c r="A2" s="3250" t="s">
        <v>3869</v>
      </c>
      <c r="B2" s="3250" t="s">
        <v>3870</v>
      </c>
      <c r="C2" s="3250" t="s">
        <v>3871</v>
      </c>
      <c r="D2" s="3250" t="s">
        <v>3872</v>
      </c>
    </row>
    <row r="3" spans="1:4">
      <c r="A3" s="3251">
        <v>1</v>
      </c>
      <c r="B3" s="3252" t="s">
        <v>3900</v>
      </c>
      <c r="C3" s="3253">
        <v>11.75</v>
      </c>
      <c r="D3" s="3251"/>
    </row>
    <row r="4" spans="1:4">
      <c r="A4" s="3251">
        <v>2</v>
      </c>
      <c r="B4" s="3252" t="s">
        <v>3901</v>
      </c>
      <c r="C4" s="3253">
        <v>15.63</v>
      </c>
      <c r="D4" s="3251"/>
    </row>
    <row r="5" spans="1:4">
      <c r="A5" s="3251">
        <v>3</v>
      </c>
      <c r="B5" s="3252" t="s">
        <v>3902</v>
      </c>
      <c r="C5" s="3253">
        <v>15.63</v>
      </c>
      <c r="D5" s="3251"/>
    </row>
    <row r="6" spans="1:4">
      <c r="A6" s="3251">
        <v>4</v>
      </c>
      <c r="B6" s="3252" t="s">
        <v>3903</v>
      </c>
      <c r="C6" s="3253">
        <v>11.75</v>
      </c>
      <c r="D6" s="3251"/>
    </row>
    <row r="7" spans="1:4">
      <c r="A7" s="3251">
        <v>5</v>
      </c>
      <c r="B7" s="3252" t="s">
        <v>3904</v>
      </c>
      <c r="C7" s="3253">
        <v>24.27</v>
      </c>
      <c r="D7" s="3251"/>
    </row>
    <row r="8" spans="1:4">
      <c r="A8" s="3251">
        <v>6</v>
      </c>
      <c r="B8" s="3252" t="s">
        <v>3905</v>
      </c>
      <c r="C8" s="3253">
        <v>22.82</v>
      </c>
      <c r="D8" s="3251"/>
    </row>
    <row r="9" spans="1:4">
      <c r="A9" s="3251">
        <v>7</v>
      </c>
      <c r="B9" s="3255" t="s">
        <v>3906</v>
      </c>
      <c r="C9" s="3254">
        <v>15.8</v>
      </c>
      <c r="D9" s="3251"/>
    </row>
    <row r="10" spans="1:4">
      <c r="A10" s="3251">
        <v>8</v>
      </c>
      <c r="B10" s="3252" t="s">
        <v>3873</v>
      </c>
      <c r="C10" s="3253">
        <v>37.43</v>
      </c>
      <c r="D10" s="3251"/>
    </row>
    <row r="11" spans="1:4">
      <c r="A11" s="3251">
        <v>9</v>
      </c>
      <c r="B11" s="3252" t="s">
        <v>3879</v>
      </c>
      <c r="C11" s="3253">
        <v>37.03</v>
      </c>
      <c r="D11" s="3251"/>
    </row>
    <row r="12" spans="1:4">
      <c r="A12" s="3251">
        <v>10</v>
      </c>
      <c r="B12" s="3252" t="s">
        <v>3880</v>
      </c>
      <c r="C12" s="3253">
        <v>23.89</v>
      </c>
      <c r="D12" s="3251"/>
    </row>
    <row r="13" spans="1:4">
      <c r="A13" s="3251">
        <v>11</v>
      </c>
      <c r="B13" s="3252" t="s">
        <v>3881</v>
      </c>
      <c r="C13" s="3253">
        <v>11.75</v>
      </c>
      <c r="D13" s="3251"/>
    </row>
    <row r="14" spans="1:4">
      <c r="A14" s="3251">
        <v>12</v>
      </c>
      <c r="B14" s="3252" t="s">
        <v>3882</v>
      </c>
      <c r="C14" s="3253">
        <v>15.63</v>
      </c>
      <c r="D14" s="3251"/>
    </row>
    <row r="15" spans="1:4">
      <c r="A15" s="3251">
        <v>13</v>
      </c>
      <c r="B15" s="3252" t="s">
        <v>3883</v>
      </c>
      <c r="C15" s="3253">
        <v>15.63</v>
      </c>
      <c r="D15" s="3251"/>
    </row>
    <row r="16" spans="1:4">
      <c r="A16" s="3251">
        <v>14</v>
      </c>
      <c r="B16" s="3252" t="s">
        <v>3884</v>
      </c>
      <c r="C16" s="3253">
        <v>11.75</v>
      </c>
      <c r="D16" s="3251"/>
    </row>
    <row r="17" spans="1:4">
      <c r="A17" s="3251">
        <v>15</v>
      </c>
      <c r="B17" s="3255" t="s">
        <v>3885</v>
      </c>
      <c r="C17" s="3254">
        <v>23.95</v>
      </c>
      <c r="D17" s="3251"/>
    </row>
    <row r="18" spans="1:4">
      <c r="A18" s="3251">
        <v>16</v>
      </c>
      <c r="B18" s="3255" t="s">
        <v>3886</v>
      </c>
      <c r="C18" s="3254">
        <v>22.65</v>
      </c>
      <c r="D18" s="3251"/>
    </row>
    <row r="19" spans="1:4">
      <c r="A19" s="3251">
        <v>17</v>
      </c>
      <c r="B19" s="3252" t="s">
        <v>3887</v>
      </c>
      <c r="C19" s="3253">
        <v>30.41</v>
      </c>
      <c r="D19" s="3251"/>
    </row>
    <row r="20" spans="1:4">
      <c r="A20" s="3251">
        <v>18</v>
      </c>
      <c r="B20" s="3252" t="s">
        <v>3888</v>
      </c>
      <c r="C20" s="3253">
        <v>18.760000000000002</v>
      </c>
      <c r="D20" s="3251"/>
    </row>
    <row r="21" spans="1:4">
      <c r="A21" s="3251">
        <v>19</v>
      </c>
      <c r="B21" s="3252" t="s">
        <v>3889</v>
      </c>
      <c r="C21" s="3253">
        <v>13.84</v>
      </c>
      <c r="D21" s="3251"/>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0" customWidth="1"/>
    <col min="2" max="4" width="17.625" style="3249" customWidth="1"/>
    <col min="5" max="16384" width="9" style="3249"/>
  </cols>
  <sheetData>
    <row r="1" spans="1:4">
      <c r="A1" s="3664" t="s">
        <v>3907</v>
      </c>
      <c r="B1" s="3664"/>
      <c r="C1" s="3664"/>
      <c r="D1" s="3664"/>
    </row>
    <row r="2" spans="1:4">
      <c r="A2" s="3256" t="s">
        <v>3869</v>
      </c>
      <c r="B2" s="3257" t="s">
        <v>3870</v>
      </c>
      <c r="C2" s="3257" t="s">
        <v>3871</v>
      </c>
      <c r="D2" s="3257" t="s">
        <v>3872</v>
      </c>
    </row>
    <row r="3" spans="1:4">
      <c r="A3" s="3258">
        <v>1</v>
      </c>
      <c r="B3" s="3252" t="s">
        <v>3747</v>
      </c>
      <c r="C3" s="3253">
        <v>29.9</v>
      </c>
      <c r="D3" s="3259"/>
    </row>
    <row r="4" spans="1:4">
      <c r="A4" s="3258">
        <v>2</v>
      </c>
      <c r="B4" s="3252" t="s">
        <v>3748</v>
      </c>
      <c r="C4" s="3253">
        <v>29.9</v>
      </c>
      <c r="D4" s="3259"/>
    </row>
    <row r="5" spans="1:4">
      <c r="A5" s="3258">
        <v>3</v>
      </c>
      <c r="B5" s="3252" t="s">
        <v>3749</v>
      </c>
      <c r="C5" s="3253">
        <v>29.9</v>
      </c>
      <c r="D5" s="3259"/>
    </row>
    <row r="6" spans="1:4">
      <c r="A6" s="3258">
        <v>4</v>
      </c>
      <c r="B6" s="3252" t="s">
        <v>3750</v>
      </c>
      <c r="C6" s="3253">
        <v>29.9</v>
      </c>
      <c r="D6" s="3259"/>
    </row>
    <row r="7" spans="1:4">
      <c r="A7" s="3258">
        <v>5</v>
      </c>
      <c r="B7" s="3252" t="s">
        <v>3751</v>
      </c>
      <c r="C7" s="3253">
        <v>29.9</v>
      </c>
      <c r="D7" s="3259"/>
    </row>
    <row r="8" spans="1:4">
      <c r="A8" s="3258">
        <v>6</v>
      </c>
      <c r="B8" s="3252" t="s">
        <v>3752</v>
      </c>
      <c r="C8" s="3253">
        <v>29.9</v>
      </c>
      <c r="D8" s="3259"/>
    </row>
    <row r="9" spans="1:4">
      <c r="A9" s="3258">
        <v>7</v>
      </c>
      <c r="B9" s="3252" t="s">
        <v>3908</v>
      </c>
      <c r="C9" s="3253">
        <v>29.9</v>
      </c>
      <c r="D9" s="3259"/>
    </row>
    <row r="10" spans="1:4">
      <c r="A10" s="3258">
        <v>8</v>
      </c>
      <c r="B10" s="3252" t="s">
        <v>3753</v>
      </c>
      <c r="C10" s="3253">
        <v>29.9</v>
      </c>
      <c r="D10" s="3259"/>
    </row>
    <row r="11" spans="1:4">
      <c r="A11" s="3258">
        <v>9</v>
      </c>
      <c r="B11" s="3252" t="s">
        <v>3754</v>
      </c>
      <c r="C11" s="3253">
        <v>29.9</v>
      </c>
      <c r="D11" s="3259"/>
    </row>
    <row r="12" spans="1:4">
      <c r="A12" s="3258">
        <v>10</v>
      </c>
      <c r="B12" s="3252" t="s">
        <v>3755</v>
      </c>
      <c r="C12" s="3253">
        <v>29.9</v>
      </c>
      <c r="D12" s="3259"/>
    </row>
    <row r="13" spans="1:4">
      <c r="A13" s="3258">
        <v>11</v>
      </c>
      <c r="B13" s="3252" t="s">
        <v>3756</v>
      </c>
      <c r="C13" s="3253">
        <v>29.9</v>
      </c>
      <c r="D13" s="3259"/>
    </row>
    <row r="14" spans="1:4">
      <c r="A14" s="3258">
        <v>12</v>
      </c>
      <c r="B14" s="3252" t="s">
        <v>3757</v>
      </c>
      <c r="C14" s="3253">
        <v>29.9</v>
      </c>
      <c r="D14" s="3259"/>
    </row>
    <row r="15" spans="1:4">
      <c r="A15" s="3258">
        <v>13</v>
      </c>
      <c r="B15" s="3252" t="s">
        <v>3758</v>
      </c>
      <c r="C15" s="3253">
        <v>29.9</v>
      </c>
      <c r="D15" s="3259"/>
    </row>
    <row r="16" spans="1:4">
      <c r="A16" s="3258">
        <v>14</v>
      </c>
      <c r="B16" s="3252" t="s">
        <v>3759</v>
      </c>
      <c r="C16" s="3253">
        <v>29.9</v>
      </c>
      <c r="D16" s="3259"/>
    </row>
    <row r="17" spans="1:4">
      <c r="A17" s="3258">
        <v>15</v>
      </c>
      <c r="B17" s="3252" t="s">
        <v>3760</v>
      </c>
      <c r="C17" s="3253">
        <v>29.9</v>
      </c>
      <c r="D17" s="3259"/>
    </row>
    <row r="18" spans="1:4">
      <c r="A18" s="3258">
        <v>16</v>
      </c>
      <c r="B18" s="3252" t="s">
        <v>3761</v>
      </c>
      <c r="C18" s="3253">
        <v>29.9</v>
      </c>
      <c r="D18" s="3259"/>
    </row>
    <row r="19" spans="1:4">
      <c r="A19" s="3258">
        <v>17</v>
      </c>
      <c r="B19" s="3252" t="s">
        <v>3762</v>
      </c>
      <c r="C19" s="3253">
        <v>29.9</v>
      </c>
      <c r="D19" s="3259"/>
    </row>
    <row r="20" spans="1:4">
      <c r="A20" s="3258">
        <v>18</v>
      </c>
      <c r="B20" s="3252" t="s">
        <v>3763</v>
      </c>
      <c r="C20" s="3253">
        <v>29.9</v>
      </c>
      <c r="D20" s="3259"/>
    </row>
    <row r="21" spans="1:4">
      <c r="A21" s="3258">
        <v>19</v>
      </c>
      <c r="B21" s="3252" t="s">
        <v>3764</v>
      </c>
      <c r="C21" s="3253">
        <v>29.9</v>
      </c>
      <c r="D21" s="3259"/>
    </row>
    <row r="22" spans="1:4">
      <c r="A22" s="3258">
        <v>20</v>
      </c>
      <c r="B22" s="3252" t="s">
        <v>3765</v>
      </c>
      <c r="C22" s="3253">
        <v>29.9</v>
      </c>
      <c r="D22" s="3259"/>
    </row>
    <row r="23" spans="1:4">
      <c r="A23" s="3258">
        <v>21</v>
      </c>
      <c r="B23" s="3252" t="s">
        <v>3766</v>
      </c>
      <c r="C23" s="3253">
        <v>29.9</v>
      </c>
      <c r="D23" s="3259"/>
    </row>
    <row r="24" spans="1:4">
      <c r="A24" s="3258">
        <v>22</v>
      </c>
      <c r="B24" s="3252" t="s">
        <v>3767</v>
      </c>
      <c r="C24" s="3253">
        <v>29.9</v>
      </c>
      <c r="D24" s="3259"/>
    </row>
    <row r="25" spans="1:4">
      <c r="A25" s="3258">
        <v>23</v>
      </c>
      <c r="B25" s="3252" t="s">
        <v>3768</v>
      </c>
      <c r="C25" s="3253">
        <v>29.9</v>
      </c>
      <c r="D25" s="3259"/>
    </row>
    <row r="26" spans="1:4">
      <c r="A26" s="3258">
        <v>24</v>
      </c>
      <c r="B26" s="3252" t="s">
        <v>3769</v>
      </c>
      <c r="C26" s="3253">
        <v>29.9</v>
      </c>
      <c r="D26" s="3259"/>
    </row>
    <row r="27" spans="1:4">
      <c r="A27" s="3258">
        <v>25</v>
      </c>
      <c r="B27" s="3252" t="s">
        <v>3770</v>
      </c>
      <c r="C27" s="3253">
        <v>29.9</v>
      </c>
      <c r="D27" s="3259"/>
    </row>
    <row r="28" spans="1:4">
      <c r="A28" s="3258">
        <v>26</v>
      </c>
      <c r="B28" s="3252" t="s">
        <v>3771</v>
      </c>
      <c r="C28" s="3253">
        <v>29.9</v>
      </c>
      <c r="D28" s="3259"/>
    </row>
    <row r="29" spans="1:4">
      <c r="A29" s="3258">
        <v>27</v>
      </c>
      <c r="B29" s="3252" t="s">
        <v>3772</v>
      </c>
      <c r="C29" s="3253">
        <v>29.9</v>
      </c>
      <c r="D29" s="3259"/>
    </row>
    <row r="30" spans="1:4">
      <c r="A30" s="3258">
        <v>28</v>
      </c>
      <c r="B30" s="3252" t="s">
        <v>3773</v>
      </c>
      <c r="C30" s="3253">
        <v>29.9</v>
      </c>
      <c r="D30" s="3259"/>
    </row>
    <row r="31" spans="1:4">
      <c r="A31" s="3258">
        <v>29</v>
      </c>
      <c r="B31" s="3252" t="s">
        <v>3774</v>
      </c>
      <c r="C31" s="3253">
        <v>29.9</v>
      </c>
      <c r="D31" s="3259"/>
    </row>
    <row r="32" spans="1:4">
      <c r="A32" s="3258">
        <v>30</v>
      </c>
      <c r="B32" s="3252" t="s">
        <v>3775</v>
      </c>
      <c r="C32" s="3253">
        <v>29.9</v>
      </c>
      <c r="D32" s="3259"/>
    </row>
    <row r="33" spans="1:4">
      <c r="A33" s="3258">
        <v>31</v>
      </c>
      <c r="B33" s="3252" t="s">
        <v>3776</v>
      </c>
      <c r="C33" s="3253">
        <v>29.9</v>
      </c>
      <c r="D33" s="3259"/>
    </row>
    <row r="34" spans="1:4">
      <c r="A34" s="3258">
        <v>32</v>
      </c>
      <c r="B34" s="3252" t="s">
        <v>3777</v>
      </c>
      <c r="C34" s="3253">
        <v>29.9</v>
      </c>
      <c r="D34" s="3259"/>
    </row>
    <row r="35" spans="1:4">
      <c r="A35" s="3258">
        <v>33</v>
      </c>
      <c r="B35" s="3252" t="s">
        <v>3778</v>
      </c>
      <c r="C35" s="3253">
        <v>29.9</v>
      </c>
      <c r="D35" s="3259"/>
    </row>
    <row r="36" spans="1:4">
      <c r="A36" s="3258">
        <v>34</v>
      </c>
      <c r="B36" s="3252" t="s">
        <v>3779</v>
      </c>
      <c r="C36" s="3253">
        <v>29.9</v>
      </c>
      <c r="D36" s="3259"/>
    </row>
    <row r="37" spans="1:4">
      <c r="A37" s="3258">
        <v>35</v>
      </c>
      <c r="B37" s="3252" t="s">
        <v>3780</v>
      </c>
      <c r="C37" s="3253">
        <v>29.9</v>
      </c>
      <c r="D37" s="3259"/>
    </row>
    <row r="38" spans="1:4">
      <c r="A38" s="3258">
        <v>36</v>
      </c>
      <c r="B38" s="3252" t="s">
        <v>3781</v>
      </c>
      <c r="C38" s="3253">
        <v>29.9</v>
      </c>
      <c r="D38" s="3259"/>
    </row>
    <row r="39" spans="1:4">
      <c r="A39" s="3258">
        <v>37</v>
      </c>
      <c r="B39" s="3252" t="s">
        <v>3782</v>
      </c>
      <c r="C39" s="3253">
        <v>29.9</v>
      </c>
      <c r="D39" s="3259"/>
    </row>
    <row r="40" spans="1:4">
      <c r="A40" s="3258">
        <v>38</v>
      </c>
      <c r="B40" s="3252" t="s">
        <v>3783</v>
      </c>
      <c r="C40" s="3253">
        <v>29.9</v>
      </c>
      <c r="D40" s="3259"/>
    </row>
    <row r="41" spans="1:4">
      <c r="A41" s="3258">
        <v>39</v>
      </c>
      <c r="B41" s="3252" t="s">
        <v>3784</v>
      </c>
      <c r="C41" s="3253">
        <v>29.9</v>
      </c>
      <c r="D41" s="3259"/>
    </row>
    <row r="42" spans="1:4">
      <c r="A42" s="3258">
        <v>40</v>
      </c>
      <c r="B42" s="3252" t="s">
        <v>3785</v>
      </c>
      <c r="C42" s="3253">
        <v>29.9</v>
      </c>
      <c r="D42" s="3259"/>
    </row>
    <row r="43" spans="1:4">
      <c r="A43" s="3258">
        <v>41</v>
      </c>
      <c r="B43" s="3252" t="s">
        <v>3786</v>
      </c>
      <c r="C43" s="3253">
        <v>29.9</v>
      </c>
      <c r="D43" s="3259"/>
    </row>
    <row r="44" spans="1:4">
      <c r="A44" s="3258">
        <v>42</v>
      </c>
      <c r="B44" s="3252" t="s">
        <v>3787</v>
      </c>
      <c r="C44" s="3253">
        <v>29.9</v>
      </c>
      <c r="D44" s="3259"/>
    </row>
    <row r="45" spans="1:4">
      <c r="A45" s="3258">
        <v>43</v>
      </c>
      <c r="B45" s="3252" t="s">
        <v>3788</v>
      </c>
      <c r="C45" s="3253">
        <v>29.9</v>
      </c>
      <c r="D45" s="3259"/>
    </row>
    <row r="46" spans="1:4">
      <c r="A46" s="3258">
        <v>44</v>
      </c>
      <c r="B46" s="3252" t="s">
        <v>3789</v>
      </c>
      <c r="C46" s="3253">
        <v>29.9</v>
      </c>
      <c r="D46" s="3259"/>
    </row>
    <row r="47" spans="1:4">
      <c r="A47" s="3258">
        <v>45</v>
      </c>
      <c r="B47" s="3252" t="s">
        <v>3790</v>
      </c>
      <c r="C47" s="3253">
        <v>29.9</v>
      </c>
      <c r="D47" s="3259"/>
    </row>
    <row r="48" spans="1:4">
      <c r="A48" s="3258">
        <v>46</v>
      </c>
      <c r="B48" s="3252" t="s">
        <v>3791</v>
      </c>
      <c r="C48" s="3253">
        <v>29.9</v>
      </c>
      <c r="D48" s="3259"/>
    </row>
    <row r="49" spans="1:4">
      <c r="A49" s="3258">
        <v>47</v>
      </c>
      <c r="B49" s="3252" t="s">
        <v>3792</v>
      </c>
      <c r="C49" s="3253">
        <v>29.9</v>
      </c>
      <c r="D49" s="3259"/>
    </row>
    <row r="50" spans="1:4">
      <c r="A50" s="3258">
        <v>48</v>
      </c>
      <c r="B50" s="3252" t="s">
        <v>3793</v>
      </c>
      <c r="C50" s="3253">
        <v>29.9</v>
      </c>
      <c r="D50" s="3259"/>
    </row>
    <row r="51" spans="1:4">
      <c r="A51" s="3258">
        <v>49</v>
      </c>
      <c r="B51" s="3252" t="s">
        <v>3794</v>
      </c>
      <c r="C51" s="3253">
        <v>29.9</v>
      </c>
      <c r="D51" s="3259"/>
    </row>
    <row r="52" spans="1:4">
      <c r="A52" s="3258">
        <v>50</v>
      </c>
      <c r="B52" s="3252" t="s">
        <v>3795</v>
      </c>
      <c r="C52" s="3253">
        <v>29.9</v>
      </c>
      <c r="D52" s="3259"/>
    </row>
    <row r="53" spans="1:4">
      <c r="A53" s="3258">
        <v>51</v>
      </c>
      <c r="B53" s="3252" t="s">
        <v>3796</v>
      </c>
      <c r="C53" s="3253">
        <v>29.9</v>
      </c>
      <c r="D53" s="3259"/>
    </row>
    <row r="54" spans="1:4">
      <c r="A54" s="3258">
        <v>52</v>
      </c>
      <c r="B54" s="3252" t="s">
        <v>3797</v>
      </c>
      <c r="C54" s="3253">
        <v>29.9</v>
      </c>
      <c r="D54" s="3259"/>
    </row>
    <row r="55" spans="1:4">
      <c r="A55" s="3258">
        <v>53</v>
      </c>
      <c r="B55" s="3252" t="s">
        <v>3798</v>
      </c>
      <c r="C55" s="3253">
        <v>29.9</v>
      </c>
      <c r="D55" s="3259"/>
    </row>
    <row r="56" spans="1:4">
      <c r="A56" s="3258">
        <v>54</v>
      </c>
      <c r="B56" s="3252" t="s">
        <v>3799</v>
      </c>
      <c r="C56" s="3253">
        <v>29.9</v>
      </c>
      <c r="D56" s="3259"/>
    </row>
    <row r="57" spans="1:4">
      <c r="A57" s="3258">
        <v>55</v>
      </c>
      <c r="B57" s="3252" t="s">
        <v>3800</v>
      </c>
      <c r="C57" s="3253">
        <v>29.9</v>
      </c>
      <c r="D57" s="3259"/>
    </row>
    <row r="58" spans="1:4">
      <c r="A58" s="3258">
        <v>56</v>
      </c>
      <c r="B58" s="3252" t="s">
        <v>3801</v>
      </c>
      <c r="C58" s="3253">
        <v>29.9</v>
      </c>
      <c r="D58" s="3259"/>
    </row>
    <row r="59" spans="1:4">
      <c r="A59" s="3258">
        <v>57</v>
      </c>
      <c r="B59" s="3252" t="s">
        <v>3802</v>
      </c>
      <c r="C59" s="3253">
        <v>29.9</v>
      </c>
      <c r="D59" s="3259"/>
    </row>
    <row r="60" spans="1:4">
      <c r="A60" s="3258">
        <v>58</v>
      </c>
      <c r="B60" s="3252" t="s">
        <v>3803</v>
      </c>
      <c r="C60" s="3253">
        <v>29.9</v>
      </c>
      <c r="D60" s="3259"/>
    </row>
    <row r="61" spans="1:4">
      <c r="A61" s="3258">
        <v>59</v>
      </c>
      <c r="B61" s="3252" t="s">
        <v>3804</v>
      </c>
      <c r="C61" s="3253">
        <v>29.9</v>
      </c>
      <c r="D61" s="3259"/>
    </row>
    <row r="62" spans="1:4">
      <c r="A62" s="3258">
        <v>60</v>
      </c>
      <c r="B62" s="3252" t="s">
        <v>3805</v>
      </c>
      <c r="C62" s="3253">
        <v>29.9</v>
      </c>
      <c r="D62" s="3259"/>
    </row>
    <row r="63" spans="1:4">
      <c r="A63" s="3258">
        <v>61</v>
      </c>
      <c r="B63" s="3252" t="s">
        <v>3806</v>
      </c>
      <c r="C63" s="3253">
        <v>29.9</v>
      </c>
      <c r="D63" s="3259"/>
    </row>
    <row r="64" spans="1:4">
      <c r="A64" s="3258">
        <v>62</v>
      </c>
      <c r="B64" s="3252" t="s">
        <v>3807</v>
      </c>
      <c r="C64" s="3253">
        <v>29.9</v>
      </c>
      <c r="D64" s="3259"/>
    </row>
    <row r="65" spans="1:4">
      <c r="A65" s="3258">
        <v>63</v>
      </c>
      <c r="B65" s="3252" t="s">
        <v>3808</v>
      </c>
      <c r="C65" s="3253">
        <v>29.9</v>
      </c>
      <c r="D65" s="3259"/>
    </row>
    <row r="66" spans="1:4">
      <c r="A66" s="3258">
        <v>64</v>
      </c>
      <c r="B66" s="3252" t="s">
        <v>3809</v>
      </c>
      <c r="C66" s="3253">
        <v>29.9</v>
      </c>
      <c r="D66" s="3259"/>
    </row>
    <row r="67" spans="1:4">
      <c r="A67" s="3258">
        <v>65</v>
      </c>
      <c r="B67" s="3252" t="s">
        <v>3810</v>
      </c>
      <c r="C67" s="3253">
        <v>29.9</v>
      </c>
      <c r="D67" s="3259"/>
    </row>
    <row r="68" spans="1:4">
      <c r="A68" s="3258">
        <v>66</v>
      </c>
      <c r="B68" s="3252" t="s">
        <v>3811</v>
      </c>
      <c r="C68" s="3253">
        <v>29.9</v>
      </c>
      <c r="D68" s="3259"/>
    </row>
    <row r="69" spans="1:4">
      <c r="A69" s="3258">
        <v>67</v>
      </c>
      <c r="B69" s="3252" t="s">
        <v>3812</v>
      </c>
      <c r="C69" s="3253">
        <v>29.9</v>
      </c>
      <c r="D69" s="3259"/>
    </row>
    <row r="70" spans="1:4">
      <c r="A70" s="3258">
        <v>68</v>
      </c>
      <c r="B70" s="3252" t="s">
        <v>3813</v>
      </c>
      <c r="C70" s="3253">
        <v>29.9</v>
      </c>
      <c r="D70" s="3259"/>
    </row>
    <row r="71" spans="1:4">
      <c r="A71" s="3258">
        <v>69</v>
      </c>
      <c r="B71" s="3252" t="s">
        <v>3814</v>
      </c>
      <c r="C71" s="3253">
        <v>29.9</v>
      </c>
      <c r="D71" s="3259"/>
    </row>
    <row r="72" spans="1:4">
      <c r="A72" s="3258">
        <v>70</v>
      </c>
      <c r="B72" s="3252" t="s">
        <v>3815</v>
      </c>
      <c r="C72" s="3253">
        <v>29.9</v>
      </c>
      <c r="D72" s="3259"/>
    </row>
    <row r="73" spans="1:4">
      <c r="A73" s="3258">
        <v>71</v>
      </c>
      <c r="B73" s="3252" t="s">
        <v>3816</v>
      </c>
      <c r="C73" s="3253">
        <v>29.9</v>
      </c>
      <c r="D73" s="3259"/>
    </row>
    <row r="74" spans="1:4">
      <c r="A74" s="3258">
        <v>72</v>
      </c>
      <c r="B74" s="3252" t="s">
        <v>3817</v>
      </c>
      <c r="C74" s="3253">
        <v>29.9</v>
      </c>
      <c r="D74" s="3259"/>
    </row>
    <row r="75" spans="1:4">
      <c r="A75" s="3258">
        <v>73</v>
      </c>
      <c r="B75" s="3252" t="s">
        <v>3818</v>
      </c>
      <c r="C75" s="3253">
        <v>29.9</v>
      </c>
      <c r="D75" s="3259"/>
    </row>
    <row r="76" spans="1:4">
      <c r="A76" s="3258">
        <v>74</v>
      </c>
      <c r="B76" s="3252" t="s">
        <v>3819</v>
      </c>
      <c r="C76" s="3253">
        <v>29.9</v>
      </c>
      <c r="D76" s="3259"/>
    </row>
    <row r="77" spans="1:4">
      <c r="A77" s="3258">
        <v>75</v>
      </c>
      <c r="B77" s="3252" t="s">
        <v>3820</v>
      </c>
      <c r="C77" s="3253">
        <v>29.9</v>
      </c>
      <c r="D77" s="3259"/>
    </row>
    <row r="78" spans="1:4">
      <c r="A78" s="3258">
        <v>76</v>
      </c>
      <c r="B78" s="3252" t="s">
        <v>3821</v>
      </c>
      <c r="C78" s="3253">
        <v>29.9</v>
      </c>
      <c r="D78" s="3259"/>
    </row>
    <row r="79" spans="1:4">
      <c r="A79" s="3258">
        <v>77</v>
      </c>
      <c r="B79" s="3252" t="s">
        <v>3822</v>
      </c>
      <c r="C79" s="3253">
        <v>29.9</v>
      </c>
      <c r="D79" s="3259"/>
    </row>
    <row r="80" spans="1:4">
      <c r="A80" s="3258">
        <v>78</v>
      </c>
      <c r="B80" s="3252" t="s">
        <v>3823</v>
      </c>
      <c r="C80" s="3253">
        <v>29.9</v>
      </c>
      <c r="D80" s="3259"/>
    </row>
    <row r="81" spans="1:4">
      <c r="A81" s="3258">
        <v>79</v>
      </c>
      <c r="B81" s="3252" t="s">
        <v>3824</v>
      </c>
      <c r="C81" s="3253">
        <v>29.9</v>
      </c>
      <c r="D81" s="3259"/>
    </row>
    <row r="82" spans="1:4">
      <c r="A82" s="3258">
        <v>80</v>
      </c>
      <c r="B82" s="3252" t="s">
        <v>3825</v>
      </c>
      <c r="C82" s="3253">
        <v>29.9</v>
      </c>
      <c r="D82" s="3259"/>
    </row>
    <row r="83" spans="1:4">
      <c r="A83" s="3258">
        <v>81</v>
      </c>
      <c r="B83" s="3252" t="s">
        <v>3826</v>
      </c>
      <c r="C83" s="3253">
        <v>29.9</v>
      </c>
      <c r="D83" s="3259"/>
    </row>
    <row r="84" spans="1:4">
      <c r="A84" s="3258">
        <v>82</v>
      </c>
      <c r="B84" s="3252" t="s">
        <v>3827</v>
      </c>
      <c r="C84" s="3253">
        <v>29.9</v>
      </c>
      <c r="D84" s="3259"/>
    </row>
    <row r="85" spans="1:4">
      <c r="A85" s="3258">
        <v>83</v>
      </c>
      <c r="B85" s="3252" t="s">
        <v>3828</v>
      </c>
      <c r="C85" s="3253">
        <v>29.9</v>
      </c>
      <c r="D85" s="3259"/>
    </row>
    <row r="86" spans="1:4">
      <c r="A86" s="3258">
        <v>84</v>
      </c>
      <c r="B86" s="3252" t="s">
        <v>3829</v>
      </c>
      <c r="C86" s="3253">
        <v>29.9</v>
      </c>
      <c r="D86" s="3259"/>
    </row>
    <row r="87" spans="1:4">
      <c r="A87" s="3258">
        <v>85</v>
      </c>
      <c r="B87" s="3252" t="s">
        <v>3830</v>
      </c>
      <c r="C87" s="3253">
        <v>29.9</v>
      </c>
      <c r="D87" s="3259"/>
    </row>
    <row r="88" spans="1:4">
      <c r="A88" s="3258">
        <v>86</v>
      </c>
      <c r="B88" s="3252" t="s">
        <v>3831</v>
      </c>
      <c r="C88" s="3253">
        <v>29.9</v>
      </c>
      <c r="D88" s="3259"/>
    </row>
    <row r="89" spans="1:4">
      <c r="A89" s="3258">
        <v>87</v>
      </c>
      <c r="B89" s="3252" t="s">
        <v>3832</v>
      </c>
      <c r="C89" s="3253">
        <v>29.9</v>
      </c>
      <c r="D89" s="3259"/>
    </row>
    <row r="90" spans="1:4">
      <c r="A90" s="3258">
        <v>88</v>
      </c>
      <c r="B90" s="3252" t="s">
        <v>3833</v>
      </c>
      <c r="C90" s="3253">
        <v>29.9</v>
      </c>
      <c r="D90" s="3259"/>
    </row>
    <row r="91" spans="1:4">
      <c r="A91" s="3258">
        <v>89</v>
      </c>
      <c r="B91" s="3252" t="s">
        <v>3834</v>
      </c>
      <c r="C91" s="3253">
        <v>29.9</v>
      </c>
      <c r="D91" s="3259"/>
    </row>
    <row r="92" spans="1:4">
      <c r="A92" s="3258">
        <v>90</v>
      </c>
      <c r="B92" s="3252" t="s">
        <v>3835</v>
      </c>
      <c r="C92" s="3253">
        <v>29.9</v>
      </c>
      <c r="D92" s="3259"/>
    </row>
    <row r="93" spans="1:4">
      <c r="A93" s="3258">
        <v>91</v>
      </c>
      <c r="B93" s="3252" t="s">
        <v>3836</v>
      </c>
      <c r="C93" s="3253">
        <v>29.9</v>
      </c>
      <c r="D93" s="3259"/>
    </row>
    <row r="94" spans="1:4">
      <c r="A94" s="3258">
        <v>92</v>
      </c>
      <c r="B94" s="3252" t="s">
        <v>3837</v>
      </c>
      <c r="C94" s="3253">
        <v>29.9</v>
      </c>
      <c r="D94" s="3259"/>
    </row>
    <row r="95" spans="1:4">
      <c r="A95" s="3258">
        <v>93</v>
      </c>
      <c r="B95" s="3252" t="s">
        <v>3838</v>
      </c>
      <c r="C95" s="3253">
        <v>29.9</v>
      </c>
      <c r="D95" s="3259"/>
    </row>
    <row r="96" spans="1:4">
      <c r="A96" s="3258">
        <v>94</v>
      </c>
      <c r="B96" s="3252" t="s">
        <v>3839</v>
      </c>
      <c r="C96" s="3253">
        <v>29.9</v>
      </c>
      <c r="D96" s="3259"/>
    </row>
    <row r="97" spans="1:4">
      <c r="A97" s="3258">
        <v>95</v>
      </c>
      <c r="B97" s="3252" t="s">
        <v>3840</v>
      </c>
      <c r="C97" s="3253">
        <v>29.9</v>
      </c>
      <c r="D97" s="3259"/>
    </row>
    <row r="98" spans="1:4">
      <c r="A98" s="3258">
        <v>96</v>
      </c>
      <c r="B98" s="3252" t="s">
        <v>3841</v>
      </c>
      <c r="C98" s="3253">
        <v>29.9</v>
      </c>
      <c r="D98" s="3259"/>
    </row>
    <row r="99" spans="1:4">
      <c r="A99" s="3258">
        <v>97</v>
      </c>
      <c r="B99" s="3252" t="s">
        <v>3842</v>
      </c>
      <c r="C99" s="3253">
        <v>29.9</v>
      </c>
      <c r="D99" s="3259"/>
    </row>
    <row r="100" spans="1:4">
      <c r="A100" s="3258">
        <v>98</v>
      </c>
      <c r="B100" s="3252" t="s">
        <v>3843</v>
      </c>
      <c r="C100" s="3253">
        <v>29.9</v>
      </c>
      <c r="D100" s="3259"/>
    </row>
    <row r="101" spans="1:4">
      <c r="A101" s="3258">
        <v>99</v>
      </c>
      <c r="B101" s="3252" t="s">
        <v>3844</v>
      </c>
      <c r="C101" s="3253">
        <v>29.9</v>
      </c>
      <c r="D101" s="3259"/>
    </row>
    <row r="102" spans="1:4">
      <c r="A102" s="3258">
        <v>100</v>
      </c>
      <c r="B102" s="3252" t="s">
        <v>3845</v>
      </c>
      <c r="C102" s="3253">
        <v>29.9</v>
      </c>
      <c r="D102" s="3259"/>
    </row>
    <row r="103" spans="1:4">
      <c r="A103" s="3258">
        <v>101</v>
      </c>
      <c r="B103" s="3252" t="s">
        <v>3846</v>
      </c>
      <c r="C103" s="3253">
        <v>29.9</v>
      </c>
      <c r="D103" s="3259"/>
    </row>
    <row r="104" spans="1:4">
      <c r="A104" s="3258">
        <v>102</v>
      </c>
      <c r="B104" s="3252" t="s">
        <v>3847</v>
      </c>
      <c r="C104" s="3253">
        <v>29.9</v>
      </c>
      <c r="D104" s="3259"/>
    </row>
    <row r="105" spans="1:4">
      <c r="A105" s="3258">
        <v>103</v>
      </c>
      <c r="B105" s="3252" t="s">
        <v>3848</v>
      </c>
      <c r="C105" s="3253">
        <v>29.9</v>
      </c>
      <c r="D105" s="3259"/>
    </row>
    <row r="106" spans="1:4">
      <c r="A106" s="3258">
        <v>104</v>
      </c>
      <c r="B106" s="3252" t="s">
        <v>3849</v>
      </c>
      <c r="C106" s="3253">
        <v>29.9</v>
      </c>
      <c r="D106" s="3259"/>
    </row>
    <row r="107" spans="1:4">
      <c r="A107" s="3258">
        <v>105</v>
      </c>
      <c r="B107" s="3252" t="s">
        <v>3850</v>
      </c>
      <c r="C107" s="3253">
        <v>29.9</v>
      </c>
      <c r="D107" s="3259"/>
    </row>
    <row r="108" spans="1:4">
      <c r="A108" s="3258">
        <v>106</v>
      </c>
      <c r="B108" s="3252" t="s">
        <v>3851</v>
      </c>
      <c r="C108" s="3253">
        <v>29.9</v>
      </c>
      <c r="D108" s="3259"/>
    </row>
    <row r="109" spans="1:4">
      <c r="A109" s="3258">
        <v>107</v>
      </c>
      <c r="B109" s="3252" t="s">
        <v>3852</v>
      </c>
      <c r="C109" s="3253">
        <v>29.9</v>
      </c>
      <c r="D109" s="3259"/>
    </row>
    <row r="110" spans="1:4">
      <c r="A110" s="3258">
        <v>108</v>
      </c>
      <c r="B110" s="3252" t="s">
        <v>3853</v>
      </c>
      <c r="C110" s="3253">
        <v>29.9</v>
      </c>
      <c r="D110" s="3259"/>
    </row>
    <row r="111" spans="1:4">
      <c r="A111" s="3258">
        <v>109</v>
      </c>
      <c r="B111" s="3252" t="s">
        <v>3854</v>
      </c>
      <c r="C111" s="3253">
        <v>29.9</v>
      </c>
      <c r="D111" s="3259"/>
    </row>
    <row r="112" spans="1:4">
      <c r="A112" s="3258">
        <v>110</v>
      </c>
      <c r="B112" s="3252" t="s">
        <v>3855</v>
      </c>
      <c r="C112" s="3253">
        <v>29.9</v>
      </c>
      <c r="D112" s="3259"/>
    </row>
    <row r="113" spans="1:4">
      <c r="A113" s="3258">
        <v>111</v>
      </c>
      <c r="B113" s="3252" t="s">
        <v>3856</v>
      </c>
      <c r="C113" s="3253">
        <v>29.9</v>
      </c>
      <c r="D113" s="3259"/>
    </row>
    <row r="114" spans="1:4">
      <c r="A114" s="3258">
        <v>112</v>
      </c>
      <c r="B114" s="3252" t="s">
        <v>3857</v>
      </c>
      <c r="C114" s="3253">
        <v>29.9</v>
      </c>
      <c r="D114" s="3259"/>
    </row>
    <row r="115" spans="1:4">
      <c r="A115" s="3258">
        <v>113</v>
      </c>
      <c r="B115" s="3252" t="s">
        <v>3858</v>
      </c>
      <c r="C115" s="3253">
        <v>29.9</v>
      </c>
      <c r="D115" s="3259"/>
    </row>
    <row r="116" spans="1:4">
      <c r="A116" s="3258">
        <v>114</v>
      </c>
      <c r="B116" s="3252" t="s">
        <v>3859</v>
      </c>
      <c r="C116" s="3253">
        <v>29.9</v>
      </c>
      <c r="D116" s="3259"/>
    </row>
    <row r="117" spans="1:4">
      <c r="A117" s="3258">
        <v>115</v>
      </c>
      <c r="B117" s="3252" t="s">
        <v>3860</v>
      </c>
      <c r="C117" s="3253">
        <v>29.9</v>
      </c>
      <c r="D117" s="3259"/>
    </row>
    <row r="118" spans="1:4">
      <c r="A118" s="3258">
        <v>116</v>
      </c>
      <c r="B118" s="3252" t="s">
        <v>3861</v>
      </c>
      <c r="C118" s="3253">
        <v>29.9</v>
      </c>
      <c r="D118" s="3259"/>
    </row>
    <row r="119" spans="1:4">
      <c r="A119" s="3258">
        <v>117</v>
      </c>
      <c r="B119" s="3252" t="s">
        <v>3862</v>
      </c>
      <c r="C119" s="3253">
        <v>29.9</v>
      </c>
      <c r="D119" s="3259"/>
    </row>
    <row r="120" spans="1:4">
      <c r="A120" s="3258">
        <v>118</v>
      </c>
      <c r="B120" s="3252" t="s">
        <v>3863</v>
      </c>
      <c r="C120" s="3253">
        <v>29.9</v>
      </c>
      <c r="D120" s="3259"/>
    </row>
    <row r="121" spans="1:4">
      <c r="A121" s="3258">
        <v>119</v>
      </c>
      <c r="B121" s="3252" t="s">
        <v>3864</v>
      </c>
      <c r="C121" s="3253">
        <v>29.9</v>
      </c>
      <c r="D121" s="3259"/>
    </row>
    <row r="122" spans="1:4">
      <c r="A122" s="3258">
        <v>120</v>
      </c>
      <c r="B122" s="3252" t="s">
        <v>3865</v>
      </c>
      <c r="C122" s="3253">
        <v>29.9</v>
      </c>
      <c r="D122" s="3259"/>
    </row>
    <row r="123" spans="1:4">
      <c r="A123" s="3258">
        <v>121</v>
      </c>
      <c r="B123" s="3252" t="s">
        <v>3866</v>
      </c>
      <c r="C123" s="3253">
        <v>29.9</v>
      </c>
      <c r="D123" s="3259"/>
    </row>
    <row r="124" spans="1:4">
      <c r="A124" s="3258">
        <v>122</v>
      </c>
      <c r="B124" s="3252" t="s">
        <v>3867</v>
      </c>
      <c r="C124" s="3253">
        <v>29.9</v>
      </c>
      <c r="D124" s="3259"/>
    </row>
    <row r="125" spans="1:4">
      <c r="A125" s="3258">
        <v>123</v>
      </c>
      <c r="B125" s="3252" t="s">
        <v>3909</v>
      </c>
      <c r="C125" s="3253">
        <v>29.9</v>
      </c>
      <c r="D125" s="3259"/>
    </row>
    <row r="126" spans="1:4">
      <c r="A126" s="3258">
        <v>124</v>
      </c>
      <c r="B126" s="3252" t="s">
        <v>3910</v>
      </c>
      <c r="C126" s="3253">
        <v>29.9</v>
      </c>
      <c r="D126" s="3259"/>
    </row>
    <row r="127" spans="1:4">
      <c r="A127" s="3258">
        <v>125</v>
      </c>
      <c r="B127" s="3252" t="s">
        <v>3911</v>
      </c>
      <c r="C127" s="3253">
        <v>29.9</v>
      </c>
      <c r="D127" s="3259"/>
    </row>
    <row r="128" spans="1:4">
      <c r="A128" s="3258">
        <v>126</v>
      </c>
      <c r="B128" s="3252" t="s">
        <v>3912</v>
      </c>
      <c r="C128" s="3253">
        <v>29.9</v>
      </c>
      <c r="D128" s="3259"/>
    </row>
    <row r="129" spans="1:4">
      <c r="A129" s="3258">
        <v>127</v>
      </c>
      <c r="B129" s="3252" t="s">
        <v>3913</v>
      </c>
      <c r="C129" s="3253">
        <v>29.9</v>
      </c>
      <c r="D129" s="3259"/>
    </row>
    <row r="130" spans="1:4">
      <c r="A130" s="3258">
        <v>128</v>
      </c>
      <c r="B130" s="3252" t="s">
        <v>3914</v>
      </c>
      <c r="C130" s="3253">
        <v>29.9</v>
      </c>
      <c r="D130" s="3259"/>
    </row>
    <row r="131" spans="1:4">
      <c r="A131" s="3258">
        <v>129</v>
      </c>
      <c r="B131" s="3252" t="s">
        <v>3915</v>
      </c>
      <c r="C131" s="3253">
        <v>29.9</v>
      </c>
      <c r="D131" s="3259"/>
    </row>
    <row r="132" spans="1:4">
      <c r="A132" s="3258">
        <v>130</v>
      </c>
      <c r="B132" s="3252" t="s">
        <v>3916</v>
      </c>
      <c r="C132" s="3253">
        <v>29.9</v>
      </c>
      <c r="D132" s="3259"/>
    </row>
    <row r="133" spans="1:4">
      <c r="A133" s="3258">
        <v>131</v>
      </c>
      <c r="B133" s="3252" t="s">
        <v>3917</v>
      </c>
      <c r="C133" s="3253">
        <v>29.9</v>
      </c>
      <c r="D133" s="3259"/>
    </row>
    <row r="134" spans="1:4">
      <c r="A134" s="3258">
        <v>132</v>
      </c>
      <c r="B134" s="3252" t="s">
        <v>3918</v>
      </c>
      <c r="C134" s="3253">
        <v>29.9</v>
      </c>
      <c r="D134" s="3259"/>
    </row>
    <row r="135" spans="1:4">
      <c r="A135" s="3258">
        <v>133</v>
      </c>
      <c r="B135" s="3252" t="s">
        <v>3919</v>
      </c>
      <c r="C135" s="3253">
        <v>29.9</v>
      </c>
      <c r="D135" s="3259"/>
    </row>
    <row r="136" spans="1:4">
      <c r="A136" s="3258">
        <v>134</v>
      </c>
      <c r="B136" s="3252" t="s">
        <v>3920</v>
      </c>
      <c r="C136" s="3253">
        <v>29.9</v>
      </c>
      <c r="D136" s="3259"/>
    </row>
    <row r="137" spans="1:4">
      <c r="A137" s="3258">
        <v>135</v>
      </c>
      <c r="B137" s="3252" t="s">
        <v>3921</v>
      </c>
      <c r="C137" s="3253">
        <v>29.9</v>
      </c>
      <c r="D137" s="3259"/>
    </row>
    <row r="138" spans="1:4">
      <c r="A138" s="3258">
        <v>136</v>
      </c>
      <c r="B138" s="3252" t="s">
        <v>3922</v>
      </c>
      <c r="C138" s="3253">
        <v>29.9</v>
      </c>
      <c r="D138" s="3259"/>
    </row>
    <row r="139" spans="1:4">
      <c r="A139" s="3258">
        <v>137</v>
      </c>
      <c r="B139" s="3252" t="s">
        <v>3923</v>
      </c>
      <c r="C139" s="3253">
        <v>29.9</v>
      </c>
      <c r="D139" s="3259"/>
    </row>
    <row r="140" spans="1:4">
      <c r="A140" s="3258">
        <v>138</v>
      </c>
      <c r="B140" s="3252" t="s">
        <v>3924</v>
      </c>
      <c r="C140" s="3253">
        <v>29.9</v>
      </c>
      <c r="D140" s="3259"/>
    </row>
    <row r="141" spans="1:4">
      <c r="A141" s="3258">
        <v>139</v>
      </c>
      <c r="B141" s="3252" t="s">
        <v>3925</v>
      </c>
      <c r="C141" s="3253">
        <v>29.9</v>
      </c>
      <c r="D141" s="3259"/>
    </row>
    <row r="142" spans="1:4">
      <c r="A142" s="3258">
        <v>140</v>
      </c>
      <c r="B142" s="3252" t="s">
        <v>3926</v>
      </c>
      <c r="C142" s="3253">
        <v>29.9</v>
      </c>
      <c r="D142" s="3259"/>
    </row>
    <row r="143" spans="1:4">
      <c r="A143" s="3258">
        <v>141</v>
      </c>
      <c r="B143" s="3252" t="s">
        <v>3927</v>
      </c>
      <c r="C143" s="3253">
        <v>29.9</v>
      </c>
      <c r="D143" s="3259"/>
    </row>
    <row r="144" spans="1:4">
      <c r="A144" s="3258">
        <v>142</v>
      </c>
      <c r="B144" s="3252" t="s">
        <v>3928</v>
      </c>
      <c r="C144" s="3253">
        <v>29.9</v>
      </c>
      <c r="D144" s="3259"/>
    </row>
    <row r="145" spans="1:4">
      <c r="A145" s="3258">
        <v>143</v>
      </c>
      <c r="B145" s="3252" t="s">
        <v>3929</v>
      </c>
      <c r="C145" s="3253">
        <v>29.9</v>
      </c>
      <c r="D145" s="3259"/>
    </row>
    <row r="146" spans="1:4">
      <c r="A146" s="3258">
        <v>144</v>
      </c>
      <c r="B146" s="3252" t="s">
        <v>3930</v>
      </c>
      <c r="C146" s="3253">
        <v>29.9</v>
      </c>
      <c r="D146" s="3259"/>
    </row>
    <row r="147" spans="1:4">
      <c r="A147" s="3258">
        <v>145</v>
      </c>
      <c r="B147" s="3252" t="s">
        <v>3931</v>
      </c>
      <c r="C147" s="3253">
        <v>29.9</v>
      </c>
      <c r="D147" s="3259"/>
    </row>
    <row r="148" spans="1:4">
      <c r="A148" s="3258">
        <v>146</v>
      </c>
      <c r="B148" s="3252" t="s">
        <v>3932</v>
      </c>
      <c r="C148" s="3253">
        <v>29.9</v>
      </c>
      <c r="D148" s="3259"/>
    </row>
    <row r="149" spans="1:4">
      <c r="A149" s="3258">
        <v>147</v>
      </c>
      <c r="B149" s="3252" t="s">
        <v>3933</v>
      </c>
      <c r="C149" s="3253">
        <v>29.9</v>
      </c>
      <c r="D149" s="3259"/>
    </row>
    <row r="150" spans="1:4">
      <c r="A150" s="3258">
        <v>148</v>
      </c>
      <c r="B150" s="3252" t="s">
        <v>3934</v>
      </c>
      <c r="C150" s="3253">
        <v>29.9</v>
      </c>
      <c r="D150" s="3259"/>
    </row>
    <row r="151" spans="1:4">
      <c r="A151" s="3258">
        <v>149</v>
      </c>
      <c r="B151" s="3252" t="s">
        <v>3935</v>
      </c>
      <c r="C151" s="3253">
        <v>29.9</v>
      </c>
      <c r="D151" s="3259"/>
    </row>
    <row r="152" spans="1:4">
      <c r="A152" s="3258">
        <v>150</v>
      </c>
      <c r="B152" s="3252" t="s">
        <v>3936</v>
      </c>
      <c r="C152" s="3253">
        <v>29.9</v>
      </c>
      <c r="D152" s="3259"/>
    </row>
    <row r="153" spans="1:4">
      <c r="A153" s="3258">
        <v>151</v>
      </c>
      <c r="B153" s="3252" t="s">
        <v>3937</v>
      </c>
      <c r="C153" s="3253">
        <v>29.9</v>
      </c>
      <c r="D153" s="3259"/>
    </row>
    <row r="154" spans="1:4">
      <c r="A154" s="3258">
        <v>152</v>
      </c>
      <c r="B154" s="3252" t="s">
        <v>3938</v>
      </c>
      <c r="C154" s="3253">
        <v>29.9</v>
      </c>
      <c r="D154" s="3259"/>
    </row>
    <row r="155" spans="1:4">
      <c r="A155" s="3258">
        <v>153</v>
      </c>
      <c r="B155" s="3252" t="s">
        <v>3939</v>
      </c>
      <c r="C155" s="3253">
        <v>29.9</v>
      </c>
      <c r="D155" s="3259"/>
    </row>
    <row r="156" spans="1:4">
      <c r="A156" s="3258">
        <v>154</v>
      </c>
      <c r="B156" s="3252" t="s">
        <v>3940</v>
      </c>
      <c r="C156" s="3253">
        <v>29.9</v>
      </c>
      <c r="D156" s="3259"/>
    </row>
    <row r="157" spans="1:4">
      <c r="A157" s="3258">
        <v>155</v>
      </c>
      <c r="B157" s="3252" t="s">
        <v>3941</v>
      </c>
      <c r="C157" s="3253">
        <v>29.9</v>
      </c>
      <c r="D157" s="3259"/>
    </row>
    <row r="158" spans="1:4">
      <c r="A158" s="3258">
        <v>156</v>
      </c>
      <c r="B158" s="3252" t="s">
        <v>3942</v>
      </c>
      <c r="C158" s="3253">
        <v>29.9</v>
      </c>
      <c r="D158" s="3259"/>
    </row>
    <row r="159" spans="1:4">
      <c r="A159" s="3258">
        <v>157</v>
      </c>
      <c r="B159" s="3252" t="s">
        <v>3943</v>
      </c>
      <c r="C159" s="3253">
        <v>29.9</v>
      </c>
      <c r="D159" s="3259"/>
    </row>
    <row r="160" spans="1:4">
      <c r="A160" s="3258">
        <v>158</v>
      </c>
      <c r="B160" s="3252" t="s">
        <v>3944</v>
      </c>
      <c r="C160" s="3253">
        <v>29.9</v>
      </c>
      <c r="D160" s="3259"/>
    </row>
    <row r="161" spans="1:4">
      <c r="A161" s="3258">
        <v>159</v>
      </c>
      <c r="B161" s="3252" t="s">
        <v>3945</v>
      </c>
      <c r="C161" s="3253">
        <v>29.9</v>
      </c>
      <c r="D161" s="3259"/>
    </row>
    <row r="162" spans="1:4">
      <c r="A162" s="3258">
        <v>160</v>
      </c>
      <c r="B162" s="3252" t="s">
        <v>3946</v>
      </c>
      <c r="C162" s="3253">
        <v>29.9</v>
      </c>
      <c r="D162" s="3259"/>
    </row>
    <row r="163" spans="1:4">
      <c r="A163" s="3258">
        <v>161</v>
      </c>
      <c r="B163" s="3252" t="s">
        <v>3947</v>
      </c>
      <c r="C163" s="3253">
        <v>29.9</v>
      </c>
      <c r="D163" s="3259"/>
    </row>
    <row r="164" spans="1:4">
      <c r="A164" s="3258">
        <v>162</v>
      </c>
      <c r="B164" s="3252" t="s">
        <v>3948</v>
      </c>
      <c r="C164" s="3253">
        <v>29.9</v>
      </c>
      <c r="D164" s="3259"/>
    </row>
    <row r="165" spans="1:4">
      <c r="A165" s="3258">
        <v>163</v>
      </c>
      <c r="B165" s="3252" t="s">
        <v>3949</v>
      </c>
      <c r="C165" s="3253">
        <v>29.9</v>
      </c>
      <c r="D165" s="3259"/>
    </row>
    <row r="166" spans="1:4">
      <c r="A166" s="3258">
        <v>164</v>
      </c>
      <c r="B166" s="3252" t="s">
        <v>3950</v>
      </c>
      <c r="C166" s="3253">
        <v>29.9</v>
      </c>
      <c r="D166" s="3259"/>
    </row>
    <row r="167" spans="1:4">
      <c r="A167" s="3258">
        <v>165</v>
      </c>
      <c r="B167" s="3252" t="s">
        <v>3951</v>
      </c>
      <c r="C167" s="3253">
        <v>29.9</v>
      </c>
      <c r="D167" s="3259"/>
    </row>
    <row r="168" spans="1:4">
      <c r="A168" s="3258">
        <v>166</v>
      </c>
      <c r="B168" s="3252" t="s">
        <v>3952</v>
      </c>
      <c r="C168" s="3253">
        <v>29.9</v>
      </c>
      <c r="D168" s="3259"/>
    </row>
    <row r="169" spans="1:4">
      <c r="A169" s="3258">
        <v>167</v>
      </c>
      <c r="B169" s="3252" t="s">
        <v>3953</v>
      </c>
      <c r="C169" s="3253">
        <v>29.9</v>
      </c>
      <c r="D169" s="3259"/>
    </row>
    <row r="170" spans="1:4">
      <c r="A170" s="3258">
        <v>168</v>
      </c>
      <c r="B170" s="3252" t="s">
        <v>3954</v>
      </c>
      <c r="C170" s="3254">
        <v>29.9</v>
      </c>
      <c r="D170" s="3259"/>
    </row>
    <row r="171" spans="1:4">
      <c r="A171" s="3258">
        <v>169</v>
      </c>
      <c r="B171" s="3252" t="s">
        <v>3955</v>
      </c>
      <c r="C171" s="3254">
        <v>52.19</v>
      </c>
      <c r="D171" s="3259"/>
    </row>
    <row r="172" spans="1:4">
      <c r="A172" s="3258">
        <v>170</v>
      </c>
      <c r="B172" s="3252" t="s">
        <v>3956</v>
      </c>
      <c r="C172" s="3253">
        <v>29.9</v>
      </c>
      <c r="D172" s="3259"/>
    </row>
    <row r="173" spans="1:4">
      <c r="C173" s="3261">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G4:Z50"/>
  <sheetViews>
    <sheetView topLeftCell="E4" workbookViewId="0">
      <selection activeCell="K33" sqref="K3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3"/>
      <c r="K17" s="3243" t="s">
        <v>669</v>
      </c>
      <c r="L17" s="3243" t="s">
        <v>3621</v>
      </c>
      <c r="M17" s="3243" t="s">
        <v>3693</v>
      </c>
      <c r="N17" s="3243" t="s">
        <v>3619</v>
      </c>
      <c r="O17" s="3243" t="s">
        <v>3620</v>
      </c>
    </row>
    <row r="18" spans="9:26" ht="15">
      <c r="I18" s="1405" t="s">
        <v>3725</v>
      </c>
      <c r="J18" s="3243">
        <v>1</v>
      </c>
      <c r="K18" s="3243" t="s">
        <v>3680</v>
      </c>
      <c r="L18" s="3243" t="s">
        <v>3681</v>
      </c>
      <c r="M18" s="3244" t="s">
        <v>3699</v>
      </c>
      <c r="N18" s="3243"/>
      <c r="O18" s="3243"/>
      <c r="P18" s="3246">
        <v>7.0949074074074068E-4</v>
      </c>
    </row>
    <row r="19" spans="9:26" ht="15">
      <c r="J19" s="3243">
        <v>2</v>
      </c>
      <c r="K19" s="3243" t="s">
        <v>3674</v>
      </c>
      <c r="L19" s="3243" t="s">
        <v>3675</v>
      </c>
      <c r="M19" s="3244" t="s">
        <v>3697</v>
      </c>
      <c r="N19" s="3243"/>
      <c r="O19" s="3243"/>
    </row>
    <row r="20" spans="9:26" ht="15">
      <c r="J20" s="3243">
        <v>3</v>
      </c>
      <c r="K20" s="3243" t="s">
        <v>3672</v>
      </c>
      <c r="L20" s="3243" t="s">
        <v>3673</v>
      </c>
      <c r="M20" s="3244" t="s">
        <v>3696</v>
      </c>
      <c r="N20" s="3243"/>
      <c r="O20" s="3243">
        <v>1000</v>
      </c>
      <c r="P20" s="3162" t="s">
        <v>3726</v>
      </c>
      <c r="R20" s="3162" t="s">
        <v>3727</v>
      </c>
    </row>
    <row r="21" spans="9:26" ht="15">
      <c r="I21" s="1405" t="s">
        <v>3720</v>
      </c>
      <c r="J21" s="3243">
        <v>4</v>
      </c>
      <c r="K21" s="3243" t="s">
        <v>3678</v>
      </c>
      <c r="L21" s="3243" t="s">
        <v>3679</v>
      </c>
      <c r="M21" s="3244" t="s">
        <v>3698</v>
      </c>
      <c r="N21" s="3243"/>
      <c r="O21" s="3243" t="s">
        <v>3724</v>
      </c>
      <c r="P21" s="3162" t="s">
        <v>3718</v>
      </c>
      <c r="R21" s="3162" t="s">
        <v>3719</v>
      </c>
      <c r="W21" s="3162" t="s">
        <v>3723</v>
      </c>
    </row>
    <row r="22" spans="9:26" ht="15">
      <c r="I22" s="1405" t="s">
        <v>3721</v>
      </c>
      <c r="J22" s="3243">
        <v>5</v>
      </c>
      <c r="K22" s="3243" t="s">
        <v>3626</v>
      </c>
      <c r="L22" s="3243" t="s">
        <v>3627</v>
      </c>
      <c r="M22" s="3244" t="s">
        <v>3701</v>
      </c>
      <c r="N22" s="3243"/>
      <c r="O22" s="3243"/>
    </row>
    <row r="23" spans="9:26" ht="15">
      <c r="J23" s="3243">
        <v>6</v>
      </c>
      <c r="K23" s="3243" t="s">
        <v>3660</v>
      </c>
      <c r="L23" s="3243" t="s">
        <v>3622</v>
      </c>
      <c r="M23" s="3244" t="s">
        <v>3709</v>
      </c>
      <c r="N23" s="3243" t="s">
        <v>3662</v>
      </c>
      <c r="O23" s="3243"/>
    </row>
    <row r="24" spans="9:26" ht="15">
      <c r="J24" s="3243">
        <v>7</v>
      </c>
      <c r="K24" s="3243" t="s">
        <v>3658</v>
      </c>
      <c r="L24" s="3243" t="s">
        <v>3659</v>
      </c>
      <c r="M24" s="3244" t="s">
        <v>3709</v>
      </c>
      <c r="N24" s="3243"/>
      <c r="O24" s="3243"/>
    </row>
    <row r="25" spans="9:26" ht="15">
      <c r="J25" s="3243">
        <v>8</v>
      </c>
      <c r="K25" s="3243" t="s">
        <v>3646</v>
      </c>
      <c r="L25" s="3243" t="s">
        <v>3647</v>
      </c>
      <c r="M25" s="3244" t="s">
        <v>3709</v>
      </c>
      <c r="N25" s="3243"/>
      <c r="O25" s="3243" t="s">
        <v>3730</v>
      </c>
      <c r="Y25" s="1405" t="s">
        <v>3722</v>
      </c>
      <c r="Z25">
        <v>950</v>
      </c>
    </row>
    <row r="26" spans="9:26" ht="15">
      <c r="J26" s="3243">
        <v>9</v>
      </c>
      <c r="K26" s="3243" t="s">
        <v>3676</v>
      </c>
      <c r="L26" s="3243" t="s">
        <v>3677</v>
      </c>
      <c r="M26" s="3244" t="s">
        <v>3694</v>
      </c>
      <c r="N26" s="3243"/>
      <c r="O26" s="3243"/>
    </row>
    <row r="27" spans="9:26" ht="15">
      <c r="J27" s="3243">
        <v>10</v>
      </c>
      <c r="K27" s="3243" t="s">
        <v>3670</v>
      </c>
      <c r="L27" s="3243" t="s">
        <v>3671</v>
      </c>
      <c r="M27" s="3244" t="s">
        <v>3694</v>
      </c>
      <c r="N27" s="3243"/>
      <c r="O27" s="3243" t="s">
        <v>3734</v>
      </c>
    </row>
    <row r="28" spans="9:26" ht="15">
      <c r="J28" s="3243">
        <v>11</v>
      </c>
      <c r="K28" s="3243" t="s">
        <v>3668</v>
      </c>
      <c r="L28" s="3243" t="s">
        <v>3669</v>
      </c>
      <c r="M28" s="3244" t="s">
        <v>3694</v>
      </c>
      <c r="N28" s="3243"/>
      <c r="O28" s="3243"/>
    </row>
    <row r="29" spans="9:26" ht="27">
      <c r="J29" s="3243">
        <v>12</v>
      </c>
      <c r="K29" s="3243" t="s">
        <v>3665</v>
      </c>
      <c r="L29" s="3243" t="s">
        <v>3692</v>
      </c>
      <c r="M29" s="3244" t="s">
        <v>3694</v>
      </c>
      <c r="N29" s="3243"/>
      <c r="O29" s="3243" t="s">
        <v>3732</v>
      </c>
      <c r="P29" s="3162" t="s">
        <v>3731</v>
      </c>
      <c r="R29" s="1405" t="s">
        <v>3733</v>
      </c>
    </row>
    <row r="30" spans="9:26" ht="15">
      <c r="J30" s="3243">
        <v>13</v>
      </c>
      <c r="K30" s="3243" t="s">
        <v>3636</v>
      </c>
      <c r="L30" s="3243" t="s">
        <v>3631</v>
      </c>
      <c r="M30" s="3244" t="s">
        <v>3703</v>
      </c>
      <c r="N30" s="3243"/>
      <c r="O30" s="3243"/>
    </row>
    <row r="31" spans="9:26" ht="15">
      <c r="J31" s="3243">
        <v>14</v>
      </c>
      <c r="K31" s="3243" t="s">
        <v>3639</v>
      </c>
      <c r="L31" s="3243" t="s">
        <v>3634</v>
      </c>
      <c r="M31" s="3244" t="s">
        <v>3706</v>
      </c>
      <c r="N31" s="3243"/>
      <c r="O31" s="3243">
        <v>350</v>
      </c>
    </row>
    <row r="32" spans="9:26" ht="15">
      <c r="J32" s="3243">
        <v>15</v>
      </c>
      <c r="K32" s="3243" t="s">
        <v>3684</v>
      </c>
      <c r="L32" s="3243" t="s">
        <v>3685</v>
      </c>
      <c r="M32" s="3244" t="s">
        <v>3700</v>
      </c>
      <c r="N32" s="3243"/>
      <c r="O32" s="3243"/>
    </row>
    <row r="33" spans="7:18" ht="15">
      <c r="J33" s="3243">
        <v>16</v>
      </c>
      <c r="K33" s="3243" t="s">
        <v>3682</v>
      </c>
      <c r="L33" s="3243" t="s">
        <v>3683</v>
      </c>
      <c r="M33" s="3244" t="s">
        <v>3695</v>
      </c>
      <c r="N33" s="3243"/>
      <c r="O33" s="3243"/>
    </row>
    <row r="34" spans="7:18" ht="15">
      <c r="G34">
        <v>55</v>
      </c>
      <c r="J34" s="3243">
        <v>17</v>
      </c>
      <c r="K34" s="3243" t="s">
        <v>3666</v>
      </c>
      <c r="L34" s="3243" t="s">
        <v>3667</v>
      </c>
      <c r="M34" s="3244" t="s">
        <v>3695</v>
      </c>
      <c r="N34" s="3243"/>
      <c r="O34" s="3243"/>
    </row>
    <row r="35" spans="7:18" ht="15">
      <c r="J35" s="3243">
        <v>18</v>
      </c>
      <c r="K35" s="3243" t="s">
        <v>3650</v>
      </c>
      <c r="L35" s="3243" t="s">
        <v>3651</v>
      </c>
      <c r="M35" s="3244" t="s">
        <v>3707</v>
      </c>
      <c r="N35" s="3243"/>
      <c r="O35" s="3243"/>
      <c r="R35" s="1405" t="s">
        <v>3691</v>
      </c>
    </row>
    <row r="36" spans="7:18" ht="15">
      <c r="J36" s="3243">
        <v>19</v>
      </c>
      <c r="K36" s="3243" t="s">
        <v>3648</v>
      </c>
      <c r="L36" s="3243" t="s">
        <v>3649</v>
      </c>
      <c r="M36" s="3244" t="s">
        <v>3707</v>
      </c>
      <c r="N36" s="3243"/>
      <c r="O36" s="3243"/>
    </row>
    <row r="37" spans="7:18" ht="15">
      <c r="J37" s="3243">
        <v>20</v>
      </c>
      <c r="K37" s="3243" t="s">
        <v>3640</v>
      </c>
      <c r="L37" s="3243" t="s">
        <v>3641</v>
      </c>
      <c r="M37" s="3244" t="s">
        <v>3707</v>
      </c>
      <c r="N37" s="3243"/>
      <c r="O37" s="3243"/>
      <c r="R37" t="s">
        <v>3690</v>
      </c>
    </row>
    <row r="38" spans="7:18" ht="15">
      <c r="J38" s="3243">
        <v>21</v>
      </c>
      <c r="K38" s="3243" t="s">
        <v>3644</v>
      </c>
      <c r="L38" s="3243" t="s">
        <v>3645</v>
      </c>
      <c r="M38" s="3244" t="s">
        <v>3708</v>
      </c>
      <c r="N38" s="3243"/>
      <c r="O38" s="3243"/>
      <c r="R38" t="s">
        <v>3663</v>
      </c>
    </row>
    <row r="39" spans="7:18" ht="15">
      <c r="J39" s="3243">
        <v>22</v>
      </c>
      <c r="K39" s="3243" t="s">
        <v>3652</v>
      </c>
      <c r="L39" s="3243" t="s">
        <v>3653</v>
      </c>
      <c r="M39" s="3244" t="s">
        <v>3710</v>
      </c>
      <c r="N39" s="3243"/>
      <c r="O39" s="3243"/>
      <c r="R39" t="s">
        <v>3664</v>
      </c>
    </row>
    <row r="40" spans="7:18" ht="15">
      <c r="J40" s="3243">
        <v>23</v>
      </c>
      <c r="K40" s="3243" t="s">
        <v>3635</v>
      </c>
      <c r="L40" s="3243" t="s">
        <v>3630</v>
      </c>
      <c r="M40" s="3244" t="s">
        <v>3702</v>
      </c>
      <c r="N40" s="3243"/>
      <c r="O40" s="3243"/>
      <c r="R40" t="s">
        <v>3664</v>
      </c>
    </row>
    <row r="41" spans="7:18" ht="15">
      <c r="J41" s="3243">
        <v>24</v>
      </c>
      <c r="K41" s="3243" t="s">
        <v>3628</v>
      </c>
      <c r="L41" s="3243" t="s">
        <v>3629</v>
      </c>
      <c r="M41" s="3244" t="s">
        <v>3702</v>
      </c>
      <c r="N41" s="3243"/>
      <c r="O41" s="3243"/>
      <c r="R41" t="s">
        <v>3664</v>
      </c>
    </row>
    <row r="42" spans="7:18" ht="15">
      <c r="J42" s="3243">
        <v>25</v>
      </c>
      <c r="K42" s="3243" t="s">
        <v>3642</v>
      </c>
      <c r="L42" s="3243" t="s">
        <v>3643</v>
      </c>
      <c r="M42" s="3244" t="s">
        <v>3705</v>
      </c>
      <c r="N42" s="3243"/>
      <c r="O42" s="3243"/>
      <c r="R42" t="s">
        <v>3663</v>
      </c>
    </row>
    <row r="43" spans="7:18" ht="15">
      <c r="J43" s="3243">
        <v>26</v>
      </c>
      <c r="K43" s="3243" t="s">
        <v>3638</v>
      </c>
      <c r="L43" s="3243" t="s">
        <v>3633</v>
      </c>
      <c r="M43" s="3244" t="s">
        <v>3705</v>
      </c>
      <c r="N43" s="3243"/>
      <c r="O43" s="3243"/>
      <c r="R43" t="s">
        <v>3664</v>
      </c>
    </row>
    <row r="44" spans="7:18" ht="15">
      <c r="J44" s="3243">
        <v>27</v>
      </c>
      <c r="K44" s="3243" t="s">
        <v>3654</v>
      </c>
      <c r="L44" s="3243" t="s">
        <v>3655</v>
      </c>
      <c r="M44" s="3244" t="s">
        <v>3711</v>
      </c>
      <c r="N44" s="3243"/>
      <c r="O44" s="3243"/>
      <c r="R44" t="s">
        <v>3664</v>
      </c>
    </row>
    <row r="45" spans="7:18" ht="15.75" thickBot="1">
      <c r="J45" s="3243">
        <v>28</v>
      </c>
      <c r="K45" s="3243" t="s">
        <v>3637</v>
      </c>
      <c r="L45" s="3243" t="s">
        <v>3632</v>
      </c>
      <c r="M45" s="3244" t="s">
        <v>3704</v>
      </c>
      <c r="N45" s="3243"/>
      <c r="O45" s="3243"/>
      <c r="R45" s="3240" t="s">
        <v>3664</v>
      </c>
    </row>
    <row r="46" spans="7:18" ht="15.75" thickBot="1">
      <c r="J46" s="3243">
        <v>29</v>
      </c>
      <c r="K46" s="3243" t="s">
        <v>3656</v>
      </c>
      <c r="L46" s="3243" t="s">
        <v>3657</v>
      </c>
      <c r="M46" s="3244" t="s">
        <v>3712</v>
      </c>
      <c r="N46" s="3243"/>
      <c r="O46" s="3243"/>
      <c r="R46" s="3240" t="s">
        <v>3664</v>
      </c>
    </row>
    <row r="47" spans="7:18" ht="15.75" thickBot="1">
      <c r="J47" s="3243">
        <v>30</v>
      </c>
      <c r="K47" s="3243" t="s">
        <v>3623</v>
      </c>
      <c r="L47" s="3243" t="s">
        <v>3624</v>
      </c>
      <c r="M47" s="3244">
        <v>49</v>
      </c>
      <c r="N47" s="3243" t="s">
        <v>3661</v>
      </c>
      <c r="O47" s="3243"/>
      <c r="R47" s="3240" t="s">
        <v>3664</v>
      </c>
    </row>
    <row r="48" spans="7:18" ht="14.25">
      <c r="K48" s="3241"/>
      <c r="L48" s="3241"/>
    </row>
    <row r="50" spans="11:15" ht="81">
      <c r="K50" s="3243" t="s">
        <v>3715</v>
      </c>
      <c r="L50" s="3243" t="s">
        <v>3716</v>
      </c>
      <c r="M50">
        <v>35</v>
      </c>
      <c r="O50" s="3245"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48B00-D9E9-49AA-ADC4-6915197F31FA}">
  <dimension ref="U2:Y32"/>
  <sheetViews>
    <sheetView topLeftCell="A13" workbookViewId="0">
      <selection activeCell="V63" sqref="V63"/>
    </sheetView>
  </sheetViews>
  <sheetFormatPr defaultRowHeight="13.5"/>
  <cols>
    <col min="22" max="22" width="13" bestFit="1" customWidth="1"/>
    <col min="23" max="23" width="11.625" bestFit="1" customWidth="1"/>
  </cols>
  <sheetData>
    <row r="2" spans="21:25">
      <c r="U2" s="3282"/>
      <c r="V2" s="1405" t="s">
        <v>3998</v>
      </c>
      <c r="W2">
        <v>600</v>
      </c>
    </row>
    <row r="3" spans="21:25">
      <c r="U3" s="3282"/>
      <c r="V3" s="1405" t="s">
        <v>3999</v>
      </c>
      <c r="W3">
        <v>900</v>
      </c>
    </row>
    <row r="4" spans="21:25">
      <c r="U4" s="3282"/>
    </row>
    <row r="5" spans="21:25">
      <c r="U5" s="3282"/>
    </row>
    <row r="6" spans="21:25">
      <c r="U6" s="3282"/>
    </row>
    <row r="7" spans="21:25">
      <c r="U7" s="3282"/>
    </row>
    <row r="8" spans="21:25">
      <c r="U8" s="3282"/>
    </row>
    <row r="9" spans="21:25">
      <c r="U9" s="3282"/>
    </row>
    <row r="10" spans="21:25">
      <c r="U10" s="3282"/>
    </row>
    <row r="11" spans="21:25">
      <c r="U11" s="3282"/>
    </row>
    <row r="12" spans="21:25">
      <c r="U12" s="3282"/>
    </row>
    <row r="13" spans="21:25">
      <c r="U13" s="3282"/>
    </row>
    <row r="14" spans="21:25">
      <c r="U14" s="3282"/>
    </row>
    <row r="16" spans="21:25">
      <c r="U16" s="3282"/>
      <c r="V16" s="1405" t="s">
        <v>4001</v>
      </c>
      <c r="W16">
        <v>700</v>
      </c>
      <c r="Y16">
        <f t="shared" ref="Y16:Y23" si="0">W16-X16</f>
        <v>700</v>
      </c>
    </row>
    <row r="17" spans="21:25">
      <c r="U17" s="3282"/>
      <c r="V17" s="1405" t="s">
        <v>4002</v>
      </c>
      <c r="W17" s="1405">
        <v>700</v>
      </c>
      <c r="Y17">
        <f t="shared" si="0"/>
        <v>700</v>
      </c>
    </row>
    <row r="18" spans="21:25">
      <c r="U18" s="3282"/>
      <c r="V18" s="1405" t="s">
        <v>4003</v>
      </c>
      <c r="W18" s="1405">
        <v>1000</v>
      </c>
      <c r="X18">
        <v>130</v>
      </c>
      <c r="Y18">
        <f t="shared" si="0"/>
        <v>870</v>
      </c>
    </row>
    <row r="19" spans="21:25">
      <c r="U19" s="3282"/>
      <c r="V19" s="1405" t="s">
        <v>4004</v>
      </c>
      <c r="W19" s="1405">
        <v>1200</v>
      </c>
      <c r="Y19">
        <f t="shared" si="0"/>
        <v>1200</v>
      </c>
    </row>
    <row r="20" spans="21:25">
      <c r="U20" s="3283" t="s">
        <v>4007</v>
      </c>
      <c r="V20" s="1405" t="s">
        <v>4005</v>
      </c>
      <c r="W20" s="1405">
        <v>1000</v>
      </c>
      <c r="X20">
        <v>150</v>
      </c>
      <c r="Y20">
        <f t="shared" si="0"/>
        <v>850</v>
      </c>
    </row>
    <row r="21" spans="21:25">
      <c r="U21" s="3285" t="s">
        <v>4013</v>
      </c>
      <c r="V21" s="3284" t="s">
        <v>4006</v>
      </c>
      <c r="W21" s="3284">
        <v>750</v>
      </c>
      <c r="X21" s="3158">
        <v>150</v>
      </c>
      <c r="Y21" s="3158">
        <f t="shared" si="0"/>
        <v>600</v>
      </c>
    </row>
    <row r="22" spans="21:25">
      <c r="U22" s="3282"/>
      <c r="V22" s="1405" t="s">
        <v>4008</v>
      </c>
      <c r="W22" s="1405">
        <v>800</v>
      </c>
      <c r="X22">
        <v>150</v>
      </c>
      <c r="Y22">
        <f t="shared" si="0"/>
        <v>650</v>
      </c>
    </row>
    <row r="23" spans="21:25">
      <c r="U23" s="3285" t="s">
        <v>4014</v>
      </c>
      <c r="V23" s="3284" t="s">
        <v>4009</v>
      </c>
      <c r="W23" s="3284">
        <v>700</v>
      </c>
      <c r="X23" s="3158">
        <v>150</v>
      </c>
      <c r="Y23" s="3158">
        <f t="shared" si="0"/>
        <v>550</v>
      </c>
    </row>
    <row r="24" spans="21:25">
      <c r="U24" s="3282"/>
      <c r="V24" s="1405" t="s">
        <v>4011</v>
      </c>
      <c r="W24" s="1405">
        <v>1000</v>
      </c>
    </row>
    <row r="25" spans="21:25">
      <c r="U25" s="3285" t="s">
        <v>4010</v>
      </c>
      <c r="V25" s="3284" t="s">
        <v>4000</v>
      </c>
      <c r="W25" s="3158">
        <v>800</v>
      </c>
      <c r="X25" s="3158">
        <v>150</v>
      </c>
      <c r="Y25" s="3158">
        <f>W25-X25</f>
        <v>650</v>
      </c>
    </row>
    <row r="26" spans="21:25">
      <c r="U26" s="3282"/>
    </row>
    <row r="27" spans="21:25">
      <c r="U27" s="3282"/>
    </row>
    <row r="28" spans="21:25">
      <c r="U28" s="3282"/>
    </row>
    <row r="29" spans="21:25">
      <c r="U29" s="3282"/>
    </row>
    <row r="30" spans="21:25">
      <c r="U30" s="3282"/>
    </row>
    <row r="31" spans="21:25">
      <c r="U31" s="3282"/>
    </row>
    <row r="32" spans="21:25">
      <c r="U32" s="3282"/>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06" t="s">
        <v>949</v>
      </c>
      <c r="B1" s="3306"/>
      <c r="C1" s="3306"/>
      <c r="D1" s="3306"/>
    </row>
    <row r="2" spans="1:4" ht="18">
      <c r="A2" s="3307" t="s">
        <v>933</v>
      </c>
      <c r="B2" s="3307"/>
      <c r="C2" s="3307"/>
      <c r="D2" s="330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07" t="s">
        <v>939</v>
      </c>
      <c r="B6" s="3307"/>
      <c r="C6" s="3307"/>
      <c r="D6" s="330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08" t="s">
        <v>942</v>
      </c>
      <c r="B11" s="3309"/>
      <c r="C11" s="3309"/>
      <c r="D11" s="3309"/>
    </row>
    <row r="12" spans="1:4" ht="15.75">
      <c r="A12" s="33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0"/>
      <c r="C12" s="3310"/>
      <c r="D12" s="3310"/>
    </row>
    <row r="13" spans="1:4" ht="30" customHeight="1">
      <c r="A13" s="3309" t="str">
        <f>IF(项目基本情况!B8="抵押","3.抵押双方在办理抵押登记手续时，应使用本公司出具的正式《房地产评估报告》，特提醒报告使用者注意。","——")</f>
        <v>——</v>
      </c>
      <c r="B13" s="3310"/>
      <c r="C13" s="3310"/>
      <c r="D13" s="3310"/>
    </row>
    <row r="14" spans="1:4" ht="15.75" customHeight="1">
      <c r="A14" s="3309" t="str">
        <f>IF(项目基本情况!B8="抵押","4.本次评估估价师所知悉的法定优先受偿款情况说明如下：","——")</f>
        <v>——</v>
      </c>
      <c r="B14" s="3310"/>
      <c r="C14" s="3310"/>
      <c r="D14" s="3310"/>
    </row>
    <row r="15" spans="1:4" ht="42" customHeight="1">
      <c r="A15" s="3309" t="str">
        <f>IF(项目基本情况!B8="抵押","（1）"&amp;CONCATENATE(项目基本情况!L20,项目基本情况!L21,项目基本情况!L22),"——")</f>
        <v>——</v>
      </c>
      <c r="B15" s="3309"/>
      <c r="C15" s="3309"/>
      <c r="D15" s="3309"/>
    </row>
    <row r="16" spans="1:4" ht="30" customHeight="1">
      <c r="A16" s="3312" t="s">
        <v>943</v>
      </c>
      <c r="B16" s="3312"/>
      <c r="C16" s="3312"/>
      <c r="D16" s="3312"/>
    </row>
    <row r="17" spans="1:4" ht="144" customHeight="1">
      <c r="A17" s="3312" t="s">
        <v>944</v>
      </c>
      <c r="B17" s="3312"/>
      <c r="C17" s="3312"/>
      <c r="D17" s="3312"/>
    </row>
    <row r="18" spans="1:4" ht="15.75" customHeight="1">
      <c r="A18" s="3309" t="str">
        <f>IF(项目基本情况!B8="抵押",结果表!K120,"——")</f>
        <v>——</v>
      </c>
      <c r="B18" s="3309"/>
      <c r="C18" s="3309"/>
      <c r="D18" s="3309"/>
    </row>
    <row r="19" spans="1:4" ht="46.5" customHeight="1">
      <c r="A19" s="33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9"/>
      <c r="C19" s="3309"/>
      <c r="D19" s="3309"/>
    </row>
    <row r="20" spans="1:4" ht="57.75" customHeight="1">
      <c r="A20" s="33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9"/>
      <c r="C20" s="3309"/>
      <c r="D20" s="3309"/>
    </row>
    <row r="21" spans="1:4" ht="57.75" customHeight="1">
      <c r="A21" s="3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3"/>
      <c r="C21" s="3313"/>
      <c r="D21" s="3313"/>
    </row>
    <row r="22" spans="1:4" ht="18.75" customHeight="1">
      <c r="A22" s="3314" t="s">
        <v>945</v>
      </c>
      <c r="B22" s="3314"/>
      <c r="C22" s="3314"/>
      <c r="D22" s="331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11">
        <v>42551</v>
      </c>
      <c r="D31" s="33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20" t="s">
        <v>956</v>
      </c>
      <c r="B15" s="3315" t="s">
        <v>109</v>
      </c>
      <c r="C15" s="3316"/>
    </row>
    <row r="16" spans="1:7" ht="13.5">
      <c r="A16" s="3321"/>
      <c r="B16" s="3315" t="s">
        <v>42</v>
      </c>
      <c r="C16" s="3316"/>
    </row>
    <row r="17" spans="1:3" ht="13.5">
      <c r="A17" s="3321"/>
      <c r="B17" s="3318" t="s">
        <v>957</v>
      </c>
      <c r="C17" s="1429" t="s">
        <v>956</v>
      </c>
    </row>
    <row r="18" spans="1:3" ht="13.5">
      <c r="A18" s="3321"/>
      <c r="B18" s="3318"/>
      <c r="C18" s="1429" t="s">
        <v>958</v>
      </c>
    </row>
    <row r="19" spans="1:3" ht="13.5">
      <c r="A19" s="3321"/>
      <c r="B19" s="3318"/>
      <c r="C19" s="1429" t="s">
        <v>959</v>
      </c>
    </row>
    <row r="20" spans="1:3" ht="13.5">
      <c r="A20" s="3322"/>
      <c r="B20" s="3317" t="s">
        <v>960</v>
      </c>
      <c r="C20" s="3316"/>
    </row>
    <row r="21" spans="1:3" ht="13.5">
      <c r="A21" s="1430" t="s">
        <v>961</v>
      </c>
      <c r="B21" s="1431"/>
      <c r="C21" s="1432"/>
    </row>
    <row r="22" spans="1:3" ht="13.5">
      <c r="A22" s="3319" t="s">
        <v>962</v>
      </c>
      <c r="B22" s="3317" t="s">
        <v>963</v>
      </c>
      <c r="C22" s="3316"/>
    </row>
    <row r="23" spans="1:3" ht="13.5">
      <c r="A23" s="3319"/>
      <c r="B23" s="3317" t="s">
        <v>964</v>
      </c>
      <c r="C23" s="3316"/>
    </row>
    <row r="24" spans="1:3" ht="13.5">
      <c r="A24" s="3319"/>
      <c r="B24" s="3317" t="s">
        <v>965</v>
      </c>
      <c r="C24" s="3316"/>
    </row>
    <row r="25" spans="1:3" ht="13.5">
      <c r="A25" s="3319"/>
      <c r="B25" s="3318" t="s">
        <v>966</v>
      </c>
      <c r="C25" s="1429" t="s">
        <v>967</v>
      </c>
    </row>
    <row r="26" spans="1:3" ht="13.5">
      <c r="A26" s="3319"/>
      <c r="B26" s="3318"/>
      <c r="C26" s="1429" t="s">
        <v>968</v>
      </c>
    </row>
    <row r="27" spans="1:3" ht="13.5">
      <c r="A27" s="3319"/>
      <c r="B27" s="3318"/>
      <c r="C27" s="1429" t="s">
        <v>969</v>
      </c>
    </row>
    <row r="28" spans="1:3" ht="13.5">
      <c r="A28" s="3319"/>
      <c r="B28" s="3318"/>
      <c r="C28" s="1429" t="s">
        <v>970</v>
      </c>
    </row>
    <row r="29" spans="1:3" ht="13.5">
      <c r="A29" s="3319"/>
      <c r="B29" s="3318"/>
      <c r="C29" s="1429" t="s">
        <v>971</v>
      </c>
    </row>
    <row r="30" spans="1:3" ht="13.5">
      <c r="A30" s="3319"/>
      <c r="B30" s="3318"/>
      <c r="C30" s="1429" t="s">
        <v>972</v>
      </c>
    </row>
    <row r="31" spans="1:3" ht="13.5">
      <c r="A31" s="3319"/>
      <c r="B31" s="3318"/>
      <c r="C31" s="1429" t="s">
        <v>973</v>
      </c>
    </row>
    <row r="32" spans="1:3" ht="13.5">
      <c r="A32" s="3319"/>
      <c r="B32" s="3318"/>
      <c r="C32" s="1429" t="s">
        <v>974</v>
      </c>
    </row>
    <row r="33" spans="1:3" ht="13.5">
      <c r="A33" s="3319"/>
      <c r="B33" s="33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23" t="s">
        <v>2160</v>
      </c>
      <c r="B17" s="3323"/>
      <c r="C17" s="3323"/>
      <c r="D17" s="3323"/>
      <c r="E17" s="3323"/>
      <c r="F17" s="3323"/>
      <c r="G17" s="3323"/>
      <c r="H17" s="3323"/>
    </row>
    <row r="18" spans="1:8" ht="24" customHeight="1">
      <c r="A18" s="3324" t="s">
        <v>2161</v>
      </c>
      <c r="B18" s="3324"/>
      <c r="C18" s="3324"/>
      <c r="D18" s="2160"/>
      <c r="E18" s="3325" t="s">
        <v>2162</v>
      </c>
      <c r="F18" s="3324"/>
      <c r="G18" s="33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房源表</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2025-08-20T01:25:05Z</dcterms:modified>
</cp:coreProperties>
</file>