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6"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住宅" sheetId="21"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1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C13" i="12"/>
  <c r="C14" i="12"/>
  <c r="C15" i="12"/>
  <c r="D16" i="12"/>
  <c r="C16" i="12"/>
  <c r="C17" i="12"/>
  <c r="C18" i="12"/>
  <c r="D19" i="12"/>
  <c r="C19" i="12"/>
  <c r="D21" i="12"/>
  <c r="C21" i="12"/>
  <c r="D22" i="12"/>
  <c r="C22" i="12"/>
  <c r="C20" i="12"/>
  <c r="C23" i="12"/>
  <c r="I6" i="65"/>
  <c r="I1" i="65"/>
  <c r="I5" i="65"/>
  <c r="E2" i="65"/>
  <c r="B40" i="1"/>
  <c r="F26" i="12"/>
  <c r="H37" i="21"/>
  <c r="AB37" i="21"/>
  <c r="H46" i="21"/>
  <c r="AB46" i="21"/>
  <c r="T48" i="21"/>
  <c r="R49" i="21"/>
  <c r="C49" i="21"/>
  <c r="C8" i="12"/>
  <c r="C10" i="12"/>
  <c r="C6" i="12"/>
  <c r="C24" i="12"/>
  <c r="C28" i="12"/>
  <c r="C26" i="12"/>
  <c r="C29" i="12"/>
  <c r="C31" i="12"/>
  <c r="C30" i="12"/>
  <c r="F33" i="12"/>
  <c r="C35" i="12"/>
  <c r="C33" i="12"/>
  <c r="C27" i="12"/>
  <c r="D26" i="12"/>
  <c r="C32" i="12"/>
  <c r="D30" i="12"/>
  <c r="C34" i="12"/>
  <c r="D33" i="12"/>
  <c r="C36" i="12"/>
  <c r="B2" i="12"/>
  <c r="D19" i="9"/>
  <c r="G19" i="9"/>
  <c r="E7" i="39"/>
  <c r="G7" i="39"/>
  <c r="I7" i="39"/>
  <c r="I40" i="39"/>
  <c r="G40" i="39"/>
  <c r="E40" i="39"/>
  <c r="C40" i="39"/>
  <c r="I13" i="3"/>
  <c r="L10" i="68"/>
  <c r="I48" i="39"/>
  <c r="L9" i="68"/>
  <c r="G48" i="39"/>
  <c r="L8" i="68"/>
  <c r="E48" i="39"/>
  <c r="D14" i="9"/>
  <c r="F19" i="6"/>
  <c r="C11" i="4"/>
  <c r="B7" i="4"/>
  <c r="I9" i="39"/>
  <c r="G9" i="39"/>
  <c r="E9" i="39"/>
  <c r="D3" i="4"/>
  <c r="L32" i="68"/>
  <c r="L31" i="68"/>
  <c r="L30" i="68"/>
  <c r="L29" i="68"/>
  <c r="L28" i="68"/>
  <c r="L27" i="68"/>
  <c r="L26" i="68"/>
  <c r="L25" i="68"/>
  <c r="L24" i="68"/>
  <c r="L23" i="68"/>
  <c r="L22" i="68"/>
  <c r="L21" i="68"/>
  <c r="L20" i="68"/>
  <c r="L19" i="68"/>
  <c r="L18" i="68"/>
  <c r="L16" i="68"/>
  <c r="L15" i="68"/>
  <c r="L14" i="68"/>
  <c r="L13" i="68"/>
  <c r="L12" i="68"/>
  <c r="L11" i="68"/>
  <c r="L7" i="68"/>
  <c r="L6" i="68"/>
  <c r="L5" i="68"/>
  <c r="L4" i="68"/>
  <c r="L3" i="68"/>
  <c r="L2" i="68"/>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C43" i="9"/>
  <c r="K47" i="9"/>
  <c r="A14" i="55"/>
  <c r="A10" i="55"/>
  <c r="A9" i="55"/>
  <c r="A8" i="55"/>
  <c r="A6" i="54"/>
  <c r="A8" i="54"/>
  <c r="A7" i="54"/>
  <c r="A27" i="51"/>
  <c r="D5" i="46"/>
  <c r="Q6" i="59"/>
  <c r="O6" i="59"/>
  <c r="N7" i="59"/>
  <c r="O7" i="59"/>
  <c r="P7" i="59"/>
  <c r="Q7" i="59"/>
  <c r="N6" i="59"/>
  <c r="P6" i="59"/>
  <c r="B12" i="67"/>
  <c r="F11" i="67"/>
  <c r="B13" i="67"/>
  <c r="F14" i="67"/>
  <c r="E9" i="67"/>
  <c r="B8" i="67"/>
  <c r="B14" i="67"/>
  <c r="B11" i="67"/>
  <c r="B9" i="67"/>
  <c r="F10" i="67"/>
  <c r="E13" i="67"/>
  <c r="E11" i="67"/>
  <c r="E12" i="67"/>
  <c r="F13" i="67"/>
  <c r="E14" i="67"/>
  <c r="F8" i="67"/>
  <c r="E10" i="67"/>
  <c r="B10" i="67"/>
  <c r="F12" i="67"/>
  <c r="F9" i="67"/>
  <c r="E8" i="67"/>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N3" i="65"/>
  <c r="N5" i="65"/>
  <c r="J3" i="65"/>
  <c r="N6" i="65"/>
  <c r="J5" i="65"/>
  <c r="N4" i="65"/>
  <c r="I7" i="65"/>
  <c r="J6" i="65"/>
  <c r="J7" i="65"/>
  <c r="I3" i="65"/>
  <c r="I4" i="65"/>
  <c r="J4" i="65"/>
  <c r="E20" i="46"/>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AB16" i="59"/>
  <c r="P16" i="59"/>
  <c r="AA16" i="59"/>
  <c r="O16" i="59"/>
  <c r="Y16" i="59"/>
  <c r="Z16" i="59"/>
  <c r="N16" i="59"/>
  <c r="X16" i="59"/>
  <c r="Q15" i="59"/>
  <c r="AB15" i="59"/>
  <c r="P15" i="59"/>
  <c r="AA15" i="59"/>
  <c r="O15" i="59"/>
  <c r="Y15" i="59"/>
  <c r="Z15" i="59"/>
  <c r="N15" i="59"/>
  <c r="X15" i="59"/>
  <c r="Q14" i="59"/>
  <c r="AB14" i="59"/>
  <c r="P14" i="59"/>
  <c r="AA14" i="59"/>
  <c r="O14" i="59"/>
  <c r="Y14" i="59"/>
  <c r="Z14" i="59"/>
  <c r="N14" i="59"/>
  <c r="X14" i="59"/>
  <c r="Q13" i="59"/>
  <c r="P13" i="59"/>
  <c r="O13" i="59"/>
  <c r="N13" i="59"/>
  <c r="D13" i="59"/>
  <c r="Q12" i="59"/>
  <c r="AB12" i="59"/>
  <c r="P12" i="59"/>
  <c r="AA12" i="59"/>
  <c r="O12" i="59"/>
  <c r="Y12" i="59"/>
  <c r="Z12" i="59"/>
  <c r="N12" i="59"/>
  <c r="X12" i="59"/>
  <c r="Q11" i="59"/>
  <c r="AB11" i="59"/>
  <c r="P11" i="59"/>
  <c r="AA11" i="59"/>
  <c r="O11" i="59"/>
  <c r="Y11" i="59"/>
  <c r="Z11" i="59"/>
  <c r="N11" i="59"/>
  <c r="X11" i="59"/>
  <c r="Q10" i="59"/>
  <c r="AB10" i="59"/>
  <c r="P10" i="59"/>
  <c r="AA10" i="59"/>
  <c r="O10" i="59"/>
  <c r="Y10" i="59"/>
  <c r="Z10" i="59"/>
  <c r="N10" i="59"/>
  <c r="X10" i="59"/>
  <c r="Q9" i="59"/>
  <c r="P9" i="59"/>
  <c r="AA9" i="59"/>
  <c r="O9" i="59"/>
  <c r="N9" i="59"/>
  <c r="D9" i="59"/>
  <c r="C14" i="59"/>
  <c r="Y13" i="59"/>
  <c r="Z13" i="59"/>
  <c r="F14" i="59"/>
  <c r="AB13" i="59"/>
  <c r="B18" i="59"/>
  <c r="B19" i="59"/>
  <c r="B20" i="59"/>
  <c r="S20" i="59"/>
  <c r="X17" i="59"/>
  <c r="E18" i="59"/>
  <c r="E19" i="59"/>
  <c r="E20" i="59"/>
  <c r="U20" i="59"/>
  <c r="AA17" i="59"/>
  <c r="S8" i="59"/>
  <c r="B7" i="59"/>
  <c r="B6" i="59"/>
  <c r="B5" i="59"/>
  <c r="B4" i="59"/>
  <c r="U8" i="59"/>
  <c r="E7" i="59"/>
  <c r="E6" i="59"/>
  <c r="E5" i="59"/>
  <c r="E4" i="59"/>
  <c r="B10" i="59"/>
  <c r="X9"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70" i="3"/>
  <c r="BG571" i="3"/>
  <c r="BG572" i="3"/>
  <c r="BG5" i="3"/>
  <c r="BH13" i="3"/>
  <c r="BI13" i="3"/>
  <c r="BI570" i="3"/>
  <c r="BI571" i="3"/>
  <c r="BI572" i="3"/>
  <c r="BI5" i="3"/>
  <c r="BJ13" i="3"/>
  <c r="BK13" i="3"/>
  <c r="BM13" i="3"/>
  <c r="BN13" i="3"/>
  <c r="BO13" i="3"/>
  <c r="BP13" i="3"/>
  <c r="BS13" i="3"/>
  <c r="BT13" i="3"/>
  <c r="BB570" i="3"/>
  <c r="BC570" i="3"/>
  <c r="BD570" i="3"/>
  <c r="BE570" i="3"/>
  <c r="BF570" i="3"/>
  <c r="BH570" i="3"/>
  <c r="BJ570" i="3"/>
  <c r="BK570" i="3"/>
  <c r="BA570" i="3"/>
  <c r="BM570" i="3"/>
  <c r="BN570" i="3"/>
  <c r="BO570" i="3"/>
  <c r="BP570" i="3"/>
  <c r="BQ570" i="3"/>
  <c r="BR570" i="3"/>
  <c r="BS570" i="3"/>
  <c r="BT570" i="3"/>
  <c r="BL570" i="3"/>
  <c r="AZ570" i="3"/>
  <c r="BF571" i="3"/>
  <c r="BF572" i="3"/>
  <c r="BF5" i="3"/>
  <c r="BB571" i="3"/>
  <c r="BC571" i="3"/>
  <c r="BD571" i="3"/>
  <c r="BE571" i="3"/>
  <c r="BH571" i="3"/>
  <c r="BJ571" i="3"/>
  <c r="BK571" i="3"/>
  <c r="BM571" i="3"/>
  <c r="BN571" i="3"/>
  <c r="BO571" i="3"/>
  <c r="BP571" i="3"/>
  <c r="BQ571" i="3"/>
  <c r="BR571" i="3"/>
  <c r="BS571" i="3"/>
  <c r="BT571" i="3"/>
  <c r="BB572" i="3"/>
  <c r="BC572" i="3"/>
  <c r="BD572" i="3"/>
  <c r="BE572" i="3"/>
  <c r="BH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S31" i="35"/>
  <c r="W31" i="35"/>
  <c r="U34" i="35"/>
  <c r="F36" i="34"/>
  <c r="S36"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W46" i="33"/>
  <c r="AB40" i="37"/>
  <c r="J36" i="37"/>
  <c r="AC36" i="37"/>
  <c r="G105" i="37"/>
  <c r="AB28" i="36"/>
  <c r="AB31" i="21"/>
  <c r="AB13"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L493" i="3"/>
  <c r="AZ493" i="3"/>
  <c r="BA487" i="3"/>
  <c r="BA19" i="3"/>
  <c r="BA572" i="3"/>
  <c r="AZ572" i="3"/>
  <c r="BA566" i="3"/>
  <c r="BA562" i="3"/>
  <c r="BQ562" i="3"/>
  <c r="BL562" i="3"/>
  <c r="AZ562" i="3"/>
  <c r="BA560" i="3"/>
  <c r="BA558" i="3"/>
  <c r="BA556" i="3"/>
  <c r="BA554" i="3"/>
  <c r="BA550" i="3"/>
  <c r="BA546" i="3"/>
  <c r="BA544" i="3"/>
  <c r="BQ544" i="3"/>
  <c r="BL544" i="3"/>
  <c r="AZ544" i="3"/>
  <c r="BA540" i="3"/>
  <c r="BA536" i="3"/>
  <c r="BA532" i="3"/>
  <c r="BA528" i="3"/>
  <c r="BA524" i="3"/>
  <c r="BA520" i="3"/>
  <c r="BA516" i="3"/>
  <c r="BA512" i="3"/>
  <c r="BA508" i="3"/>
  <c r="BA502" i="3"/>
  <c r="BA498" i="3"/>
  <c r="BA492" i="3"/>
  <c r="BQ492" i="3"/>
  <c r="BL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0" i="3"/>
  <c r="BL560" i="3"/>
  <c r="AZ560" i="3"/>
  <c r="BQ558" i="3"/>
  <c r="BL558" i="3"/>
  <c r="AZ558" i="3"/>
  <c r="BQ556" i="3"/>
  <c r="BL556" i="3"/>
  <c r="AZ556" i="3"/>
  <c r="BQ554" i="3"/>
  <c r="BQ552" i="3"/>
  <c r="BL552" i="3"/>
  <c r="BA552" i="3"/>
  <c r="AZ552" i="3"/>
  <c r="BQ550" i="3"/>
  <c r="BL550" i="3"/>
  <c r="AZ550" i="3"/>
  <c r="BQ548" i="3"/>
  <c r="BQ546" i="3"/>
  <c r="BL546"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A510" i="3"/>
  <c r="AZ510" i="3"/>
  <c r="BQ508" i="3"/>
  <c r="BL508" i="3"/>
  <c r="AZ508" i="3"/>
  <c r="AC506" i="3"/>
  <c r="G506" i="3"/>
  <c r="BQ506" i="3"/>
  <c r="G502" i="3"/>
  <c r="G498" i="3"/>
  <c r="BQ504" i="3"/>
  <c r="BQ502" i="3"/>
  <c r="BL502" i="3"/>
  <c r="AZ502" i="3"/>
  <c r="BQ500" i="3"/>
  <c r="BL500" i="3"/>
  <c r="BA500" i="3"/>
  <c r="AZ500" i="3"/>
  <c r="BQ498" i="3"/>
  <c r="BQ496" i="3"/>
  <c r="AC494" i="3"/>
  <c r="BQ494" i="3"/>
  <c r="G492" i="3"/>
  <c r="G488" i="3"/>
  <c r="G484" i="3"/>
  <c r="G20"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U40" i="39"/>
  <c r="F90" i="40"/>
  <c r="J21" i="40"/>
  <c r="AC21" i="40"/>
  <c r="G90" i="40"/>
  <c r="S27" i="31"/>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H13" i="39"/>
  <c r="AB13" i="39"/>
  <c r="F13" i="39"/>
  <c r="J13" i="39"/>
  <c r="AC13" i="39"/>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J32" i="21"/>
  <c r="AC32" i="21"/>
  <c r="G13" i="3"/>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L509" i="3"/>
  <c r="AZ509" i="3"/>
  <c r="BL507" i="3"/>
  <c r="BA507" i="3"/>
  <c r="AZ507" i="3"/>
  <c r="BL506" i="3"/>
  <c r="BA506" i="3"/>
  <c r="AZ506" i="3"/>
  <c r="BL505" i="3"/>
  <c r="AZ505" i="3"/>
  <c r="BL504" i="3"/>
  <c r="BA504" i="3"/>
  <c r="BA503" i="3"/>
  <c r="AZ503"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M7" i="1"/>
  <c r="O7" i="1"/>
  <c r="P7" i="1"/>
  <c r="C20" i="43"/>
  <c r="F91" i="39"/>
  <c r="G91" i="39"/>
  <c r="H17" i="39"/>
  <c r="U17" i="39"/>
  <c r="F17" i="39"/>
  <c r="AA17" i="39"/>
  <c r="J17" i="39"/>
  <c r="W17" i="39"/>
  <c r="AB36" i="21"/>
  <c r="S35" i="21"/>
  <c r="W42" i="21"/>
  <c r="U42" i="21"/>
  <c r="AA36" i="21"/>
  <c r="U19" i="21"/>
  <c r="S19" i="21"/>
  <c r="U17" i="21"/>
  <c r="U43" i="21"/>
  <c r="U39" i="21"/>
  <c r="F113" i="21"/>
  <c r="U46" i="21"/>
  <c r="S46" i="21"/>
  <c r="AA33" i="39"/>
  <c r="AC33" i="39"/>
  <c r="U34" i="39"/>
  <c r="AB44" i="39"/>
  <c r="S43" i="39"/>
  <c r="U27" i="39"/>
  <c r="AB25" i="39"/>
  <c r="S23" i="39"/>
  <c r="U21" i="39"/>
  <c r="U19" i="39"/>
  <c r="AA19" i="39"/>
  <c r="AB29" i="39"/>
  <c r="W27" i="39"/>
  <c r="AB17" i="39"/>
  <c r="S17" i="39"/>
  <c r="F36" i="44"/>
  <c r="A2" i="55"/>
  <c r="B55" i="63"/>
  <c r="A11" i="55"/>
  <c r="B62" i="63"/>
  <c r="G10" i="1"/>
  <c r="W43" i="39"/>
  <c r="AB10" i="21"/>
  <c r="S10" i="21"/>
  <c r="W9" i="21"/>
  <c r="U9" i="21"/>
  <c r="W8" i="21"/>
  <c r="S9" i="21"/>
  <c r="AA9" i="21"/>
  <c r="AC9" i="34"/>
  <c r="W9" i="34"/>
  <c r="AC24" i="35"/>
  <c r="W24" i="35"/>
  <c r="W24" i="36"/>
  <c r="AC24" i="36"/>
  <c r="AZ520" i="3"/>
  <c r="AA12" i="21"/>
  <c r="S12" i="21"/>
  <c r="AA31" i="33"/>
  <c r="S31" i="33"/>
  <c r="AC23" i="35"/>
  <c r="W23" i="35"/>
  <c r="W12" i="36"/>
  <c r="AC12" i="36"/>
  <c r="U34" i="36"/>
  <c r="AB34" i="36"/>
  <c r="U12" i="37"/>
  <c r="AC23" i="37"/>
  <c r="AC41" i="34"/>
  <c r="U30" i="33"/>
  <c r="AB13" i="35"/>
  <c r="AA38" i="37"/>
  <c r="H5" i="3"/>
  <c r="F9" i="34"/>
  <c r="AA9" i="34"/>
  <c r="J9" i="35"/>
  <c r="W9" i="35"/>
  <c r="F34" i="35"/>
  <c r="H24" i="36"/>
  <c r="G569" i="3"/>
  <c r="G564" i="3"/>
  <c r="G535" i="3"/>
  <c r="G528" i="3"/>
  <c r="AZ389" i="3"/>
  <c r="AZ404" i="3"/>
  <c r="AZ416" i="3"/>
  <c r="AZ421" i="3"/>
  <c r="AZ440" i="3"/>
  <c r="AZ464" i="3"/>
  <c r="AZ368" i="3"/>
  <c r="AZ384" i="3"/>
  <c r="AZ386" i="3"/>
  <c r="AZ218" i="3"/>
  <c r="AZ227" i="3"/>
  <c r="AZ240" i="3"/>
  <c r="AZ243" i="3"/>
  <c r="AZ256" i="3"/>
  <c r="AZ259" i="3"/>
  <c r="AZ396" i="3"/>
  <c r="AZ429" i="3"/>
  <c r="AZ448" i="3"/>
  <c r="AZ472" i="3"/>
  <c r="AZ210" i="3"/>
  <c r="AZ271" i="3"/>
  <c r="A30" i="51"/>
  <c r="B22" i="63"/>
  <c r="A30" i="64"/>
  <c r="AZ202" i="3"/>
  <c r="G15" i="3"/>
  <c r="G14" i="3"/>
  <c r="C18" i="9"/>
  <c r="AZ275" i="3"/>
  <c r="AZ279" i="3"/>
  <c r="AZ291" i="3"/>
  <c r="AZ294" i="3"/>
  <c r="AZ113" i="3"/>
  <c r="AZ116" i="3"/>
  <c r="AZ129" i="3"/>
  <c r="AZ132" i="3"/>
  <c r="AZ145" i="3"/>
  <c r="AZ148" i="3"/>
  <c r="BA21" i="3"/>
  <c r="AZ21" i="3"/>
  <c r="AZ25" i="3"/>
  <c r="AZ60" i="3"/>
  <c r="AZ30" i="3"/>
  <c r="AZ41" i="3"/>
  <c r="AZ46" i="3"/>
  <c r="AZ57" i="3"/>
  <c r="AZ65" i="3"/>
  <c r="AZ68" i="3"/>
  <c r="AZ69" i="3"/>
  <c r="AZ80" i="3"/>
  <c r="AZ89" i="3"/>
  <c r="AZ100" i="3"/>
  <c r="AZ105" i="3"/>
  <c r="I21" i="57"/>
  <c r="D1" i="57"/>
  <c r="E10" i="57"/>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9" i="44"/>
  <c r="F9" i="44"/>
  <c r="M30" i="44"/>
  <c r="L47" i="15"/>
  <c r="M24" i="15"/>
  <c r="M28" i="15"/>
  <c r="F26" i="15"/>
  <c r="F45" i="44"/>
  <c r="J36" i="15"/>
  <c r="M10" i="44"/>
  <c r="M25" i="44"/>
  <c r="F18" i="44"/>
  <c r="F16" i="15"/>
  <c r="F38" i="44"/>
  <c r="F11" i="44"/>
  <c r="M6" i="15"/>
  <c r="F43" i="44"/>
  <c r="F37" i="15"/>
  <c r="F8" i="44"/>
  <c r="J17" i="44"/>
  <c r="M23" i="15"/>
  <c r="F38" i="15"/>
  <c r="J15" i="15"/>
  <c r="F36" i="15"/>
  <c r="M26" i="15"/>
  <c r="M28" i="44"/>
  <c r="F13" i="15"/>
  <c r="F40" i="44"/>
  <c r="M26" i="44"/>
  <c r="M31" i="44"/>
  <c r="F6" i="15"/>
  <c r="M9" i="15"/>
  <c r="M24" i="44"/>
  <c r="F7" i="15"/>
  <c r="F9" i="15"/>
  <c r="M29" i="15"/>
  <c r="F43" i="15"/>
  <c r="F15" i="44"/>
  <c r="L49" i="44"/>
  <c r="F8" i="15"/>
  <c r="L48" i="15"/>
  <c r="M22" i="15"/>
  <c r="L48" i="44"/>
  <c r="F40" i="15"/>
  <c r="F10" i="44"/>
  <c r="M11" i="44"/>
  <c r="M8" i="15"/>
  <c r="M8" i="44"/>
  <c r="F28" i="44"/>
  <c r="F42" i="15"/>
  <c r="AC17" i="39"/>
  <c r="AC23" i="21"/>
  <c r="G113" i="21"/>
  <c r="J37" i="21"/>
  <c r="C16" i="46"/>
  <c r="C5" i="46"/>
  <c r="AB24" i="36"/>
  <c r="U24" i="36"/>
  <c r="AA34" i="35"/>
  <c r="S34" i="35"/>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F33" i="44"/>
  <c r="F58" i="15"/>
  <c r="F31" i="15"/>
  <c r="M19" i="44"/>
  <c r="M17" i="15"/>
  <c r="F41" i="15"/>
  <c r="C18" i="44"/>
  <c r="C16" i="15"/>
  <c r="F46" i="44"/>
  <c r="W37" i="21"/>
  <c r="AC37" i="21"/>
  <c r="U37" i="21"/>
  <c r="H113" i="21"/>
  <c r="F37" i="21"/>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12" i="11"/>
  <c r="C12" i="11"/>
  <c r="F68" i="15"/>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C20" i="11"/>
  <c r="C21" i="11"/>
  <c r="C22" i="11"/>
  <c r="C23" i="11"/>
  <c r="B2" i="11"/>
  <c r="AC12" i="40"/>
  <c r="W12" i="40"/>
  <c r="E46" i="37"/>
  <c r="F46" i="37"/>
  <c r="C48" i="33"/>
  <c r="C49" i="33"/>
  <c r="B3" i="33"/>
  <c r="B2" i="33"/>
  <c r="L52" i="44"/>
  <c r="F7" i="67"/>
  <c r="M27" i="15"/>
  <c r="M29" i="44"/>
  <c r="S37" i="21"/>
  <c r="AA37" i="21"/>
  <c r="S6" i="46"/>
  <c r="T6" i="46"/>
  <c r="V6" i="46"/>
  <c r="S7" i="46"/>
  <c r="T7" i="46"/>
  <c r="V7" i="46"/>
  <c r="S4" i="46"/>
  <c r="T4" i="46"/>
  <c r="V4" i="46"/>
  <c r="S5" i="46"/>
  <c r="T5" i="46"/>
  <c r="V5" i="46"/>
  <c r="S2" i="46"/>
  <c r="T2" i="46"/>
  <c r="V2" i="46"/>
  <c r="S3" i="46"/>
  <c r="T3" i="46"/>
  <c r="V3" i="46"/>
  <c r="AB12" i="39"/>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V48" i="21"/>
  <c r="I48" i="21"/>
  <c r="W7" i="21"/>
  <c r="U7" i="21"/>
  <c r="AB7" i="21"/>
  <c r="G48" i="21"/>
  <c r="S7" i="21"/>
  <c r="AA7" i="21"/>
  <c r="R48" i="21"/>
  <c r="F72" i="39"/>
  <c r="G70" i="39"/>
  <c r="F67" i="40"/>
  <c r="G65" i="40"/>
  <c r="J24" i="15"/>
  <c r="C32" i="15"/>
  <c r="C38" i="15"/>
  <c r="J20" i="44"/>
  <c r="J26" i="44"/>
  <c r="B3" i="11"/>
  <c r="C19" i="44"/>
  <c r="E7" i="67"/>
  <c r="C17" i="15"/>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T7" i="1"/>
  <c r="C43" i="37"/>
  <c r="B3" i="37"/>
  <c r="B2" i="37"/>
  <c r="C42" i="37"/>
  <c r="C49" i="34"/>
  <c r="E54" i="34"/>
  <c r="F54" i="34"/>
  <c r="I54" i="34"/>
  <c r="J54" i="34"/>
  <c r="E53" i="34"/>
  <c r="F53" i="34"/>
  <c r="I52" i="21"/>
  <c r="J52" i="21"/>
  <c r="E48" i="21"/>
  <c r="G52" i="21"/>
  <c r="H52" i="21"/>
  <c r="G53" i="21"/>
  <c r="H53" i="21"/>
  <c r="G67" i="40"/>
  <c r="H65" i="40"/>
  <c r="G72" i="39"/>
  <c r="H70" i="39"/>
  <c r="B7" i="67"/>
  <c r="E68" i="39"/>
  <c r="E63" i="40"/>
  <c r="B2" i="67"/>
  <c r="B4" i="46"/>
  <c r="B3" i="46"/>
  <c r="T10" i="1"/>
  <c r="T9" i="1"/>
  <c r="T6" i="1"/>
  <c r="T11" i="1"/>
  <c r="T8" i="1"/>
  <c r="T12" i="1"/>
  <c r="O16" i="1"/>
  <c r="P14" i="1"/>
  <c r="P16" i="1"/>
  <c r="C13" i="43"/>
  <c r="L16" i="1"/>
  <c r="N16" i="1"/>
  <c r="C29" i="43"/>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c r="E52" i="21"/>
  <c r="F52" i="21"/>
  <c r="C48" i="21"/>
  <c r="I53" i="21"/>
  <c r="J53" i="21"/>
  <c r="I70" i="39"/>
  <c r="H72" i="39"/>
  <c r="I65" i="40"/>
  <c r="H67" i="40"/>
  <c r="C16" i="44"/>
  <c r="C14" i="15"/>
  <c r="B3" i="21"/>
  <c r="B2" i="21"/>
  <c r="R22" i="6"/>
  <c r="R9" i="1"/>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3" i="44"/>
  <c r="M21" i="15"/>
  <c r="F37" i="44"/>
  <c r="F35" i="15"/>
  <c r="C21" i="44"/>
  <c r="C22" i="44"/>
  <c r="C25" i="44"/>
  <c r="C19" i="15"/>
  <c r="J20" i="15"/>
  <c r="C36" i="44"/>
  <c r="C34" i="15"/>
  <c r="F62" i="15"/>
  <c r="C61" i="15"/>
  <c r="J22" i="44"/>
  <c r="C20" i="15"/>
  <c r="C23" i="15"/>
  <c r="R16" i="1"/>
  <c r="D31" i="6"/>
  <c r="I6" i="6"/>
  <c r="R27" i="6"/>
  <c r="C18" i="43"/>
  <c r="K70" i="39"/>
  <c r="J72" i="39"/>
  <c r="K65" i="40"/>
  <c r="J67" i="40"/>
  <c r="C65" i="15"/>
  <c r="C59" i="15"/>
  <c r="C28" i="44"/>
  <c r="C31" i="44"/>
  <c r="C35" i="44"/>
  <c r="I5" i="6"/>
  <c r="C26" i="15"/>
  <c r="C29" i="15"/>
  <c r="J59" i="15"/>
  <c r="J60" i="15"/>
  <c r="Q49" i="15"/>
  <c r="C19" i="43"/>
  <c r="C22" i="43"/>
  <c r="C21" i="43"/>
  <c r="K67" i="40"/>
  <c r="L65" i="40"/>
  <c r="K72" i="39"/>
  <c r="L70" i="39"/>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C44" i="44"/>
  <c r="C45" i="44"/>
  <c r="B2" i="44"/>
  <c r="B4" i="44"/>
  <c r="C30" i="15"/>
  <c r="C39" i="15"/>
  <c r="C58" i="15"/>
  <c r="Q70" i="44"/>
  <c r="Q49" i="44"/>
  <c r="Q55" i="44"/>
  <c r="Q58" i="44"/>
  <c r="Q64" i="44"/>
  <c r="C57" i="15"/>
  <c r="C66" i="15"/>
  <c r="C67" i="15"/>
  <c r="C70" i="15"/>
  <c r="Q70" i="15"/>
  <c r="Q69" i="15"/>
  <c r="L44" i="9"/>
  <c r="B3" i="43"/>
  <c r="B5" i="43"/>
  <c r="B4" i="43"/>
  <c r="J9" i="40"/>
  <c r="F9" i="40"/>
  <c r="H9" i="40"/>
  <c r="J9" i="39"/>
  <c r="H9" i="39"/>
  <c r="F9" i="39"/>
  <c r="B4" i="12"/>
  <c r="D21" i="9"/>
  <c r="B5" i="12"/>
  <c r="B3" i="12"/>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G15" i="66"/>
  <c r="B6" i="66"/>
  <c r="D6" i="66"/>
  <c r="C6" i="66"/>
  <c r="F15" i="66"/>
  <c r="E15" i="66"/>
  <c r="B5"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<sst xmlns="http://schemas.openxmlformats.org/spreadsheetml/2006/main" count="7236" uniqueCount="3178">
  <si>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</si>
  <si>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</si>
  <si>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</si>
  <si>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</si>
  <si>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</si>
  <si>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</si>
  <si>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</si>
  <si>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</si>
  <si>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</si>
  <si>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</si>
  <si>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</si>
  <si>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</si>
  <si>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</si>
  <si>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</si>
  <si>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</si>
  <si>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</si>
  <si>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</si>
  <si>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</si>
  <si>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</si>
  <si>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</si>
  <si>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</si>
  <si>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</si>
  <si>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</si>
  <si>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</si>
  <si>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</si>
  <si>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</si>
  <si>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</si>
  <si>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</si>
  <si>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</si>
  <si>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</si>
  <si>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</si>
  <si>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</si>
  <si>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</si>
  <si>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</si>
  <si>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</si>
  <si>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</si>
  <si>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</si>
  <si>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</si>
  <si>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</si>
  <si>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</si>
  <si>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</si>
  <si>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</si>
  <si>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</si>
  <si>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</si>
  <si>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</si>
  <si>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</si>
  <si>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</si>
  <si>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</si>
  <si>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</si>
  <si>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</si>
  <si>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</si>
  <si>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</si>
  <si>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</si>
  <si>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</si>
  <si>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</si>
  <si>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</si>
  <si>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</si>
  <si>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</si>
  <si>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</si>
  <si>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</si>
  <si>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</si>
  <si>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</si>
  <si>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</si>
  <si>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</si>
  <si>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</si>
  <si>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</si>
  <si>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</si>
  <si>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</si>
  <si>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</si>
  <si>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</si>
  <si>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</si>
  <si>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</si>
  <si>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</si>
  <si>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</si>
  <si>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</si>
  <si>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</si>
  <si>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</si>
  <si>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</si>
  <si>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</si>
  <si>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</si>
  <si>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</si>
  <si>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</si>
  <si>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</si>
  <si>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</si>
  <si>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</si>
  <si>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</si>
  <si>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</si>
  <si>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</si>
  <si>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</si>
  <si>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</si>
  <si>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</si>
  <si>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</si>
  <si>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</si>
  <si>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</si>
  <si>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</si>
  <si>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</si>
  <si>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</si>
  <si>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</si>
  <si>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</si>
  <si>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</si>
  <si>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</si>
  <si>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</si>
  <si>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</si>
  <si>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</si>
  <si>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</si>
  <si>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</si>
  <si>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</si>
  <si>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</si>
  <si>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</si>
  <si>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</si>
  <si>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</si>
  <si>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</si>
  <si>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</si>
  <si>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</si>
  <si>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</si>
  <si>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</si>
  <si>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</si>
  <si>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</si>
  <si>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</si>
  <si>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</si>
  <si>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</si>
  <si>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</si>
  <si>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</si>
  <si>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</si>
  <si>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</si>
  <si>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</si>
  <si>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</si>
  <si>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</si>
  <si>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</si>
  <si>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</si>
  <si>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</si>
  <si>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</si>
  <si>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</si>
  <si>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</si>
  <si>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</si>
  <si>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</si>
  <si>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</si>
  <si>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</si>
  <si>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</si>
  <si>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</si>
  <si>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</si>
  <si>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</si>
  <si>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</si>
  <si>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</si>
  <si>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</si>
  <si>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</si>
  <si>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</si>
  <si>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</si>
  <si>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</si>
  <si>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</si>
  <si>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</si>
  <si>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</si>
  <si>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</si>
  <si>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</si>
  <si>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</si>
  <si>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</si>
  <si>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</si>
  <si>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</si>
  <si>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</si>
  <si>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</si>
  <si>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</si>
  <si>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</si>
  <si>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</si>
  <si>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</si>
  <si>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</si>
  <si>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</si>
  <si>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</si>
  <si>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</si>
  <si>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</si>
  <si>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</si>
  <si>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</si>
  <si>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</si>
  <si>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</si>
  <si>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</si>
  <si>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</si>
  <si>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</si>
  <si>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</si>
  <si>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</si>
  <si>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</si>
  <si>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</si>
  <si>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</si>
  <si>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</si>
  <si>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</si>
  <si>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</si>
  <si>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</si>
  <si>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</si>
  <si>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</si>
  <si>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</si>
  <si>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</si>
  <si>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</si>
  <si>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</si>
  <si>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</si>
  <si>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</si>
  <si>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</si>
  <si>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</si>
  <si>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</si>
  <si>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</si>
  <si>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</si>
  <si>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</si>
  <si>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</si>
  <si>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</si>
  <si>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</si>
  <si>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</si>
  <si>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</si>
  <si>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</si>
  <si>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</si>
  <si>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</si>
  <si>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</si>
  <si>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</si>
  <si>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</si>
  <si>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</si>
  <si>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</si>
  <si>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</si>
  <si>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</si>
  <si>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</si>
  <si>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</si>
  <si>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</si>
  <si>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</si>
  <si>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</si>
  <si>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</si>
  <si>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</si>
  <si>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</si>
  <si>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</si>
  <si>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</si>
  <si>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</si>
  <si>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</si>
  <si>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</si>
  <si>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</si>
  <si>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</si>
  <si>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</si>
  <si>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</si>
  <si>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</si>
  <si>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</si>
  <si>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</si>
  <si>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</si>
  <si>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</si>
  <si>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</si>
  <si>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</si>
  <si>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</si>
  <si>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</si>
  <si>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</si>
  <si>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</si>
  <si>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</si>
  <si>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</si>
  <si>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</si>
  <si>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</si>
  <si>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</si>
  <si>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</si>
  <si>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</si>
  <si>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</si>
  <si>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</si>
  <si>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</si>
  <si>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</si>
  <si>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</si>
  <si>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</si>
  <si>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</si>
  <si>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</si>
  <si>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</si>
  <si>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</si>
  <si>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</si>
  <si>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</si>
  <si>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</si>
  <si>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</si>
  <si>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</si>
  <si>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</si>
  <si>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</si>
  <si>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</si>
  <si>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</si>
  <si>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</si>
  <si>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</si>
  <si>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</si>
  <si>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</si>
  <si>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</si>
  <si>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</si>
  <si>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</si>
  <si>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</si>
  <si>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</si>
  <si>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</si>
  <si>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</si>
  <si>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</si>
  <si>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</si>
  <si>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</si>
  <si>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</si>
  <si>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</si>
  <si>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</si>
  <si>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</si>
  <si>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</si>
  <si>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</si>
  <si>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</si>
  <si>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</si>
  <si>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</si>
  <si>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</si>
  <si>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</si>
  <si>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</si>
  <si>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</si>
  <si>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</si>
  <si>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</si>
  <si>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</si>
  <si>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</si>
  <si>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</si>
  <si>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</si>
  <si>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</si>
  <si>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</si>
  <si>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</si>
  <si>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</si>
  <si>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</si>
  <si>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</si>
  <si>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</si>
  <si>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</si>
  <si>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</si>
  <si>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</si>
  <si>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</si>
  <si>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</si>
  <si>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</si>
  <si>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</si>
  <si>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</si>
  <si>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</si>
  <si>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</si>
  <si>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</si>
  <si>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</si>
  <si>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</si>
  <si>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</si>
  <si>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</si>
  <si>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</si>
  <si>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</si>
  <si>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</si>
  <si>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</si>
  <si>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</si>
  <si>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</si>
  <si>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</si>
  <si>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</si>
  <si>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</si>
  <si>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</si>
  <si>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</si>
  <si>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</si>
  <si>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</si>
  <si>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</si>
  <si>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</si>
  <si>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</si>
  <si>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</si>
  <si>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</si>
  <si>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</si>
  <si>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</si>
  <si>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</si>
  <si>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</si>
  <si>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</si>
  <si>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</si>
  <si>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</si>
  <si>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</si>
  <si>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</si>
  <si>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</si>
  <si>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</si>
  <si>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</si>
  <si>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</si>
  <si>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</si>
  <si>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</si>
  <si>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</si>
  <si>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</si>
  <si>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</si>
  <si>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</si>
  <si>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</si>
  <si>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</si>
  <si>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</si>
  <si>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</si>
  <si>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</si>
  <si>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</si>
  <si>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</si>
  <si>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</si>
  <si>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</si>
  <si>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</si>
  <si>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</si>
  <si>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</si>
  <si>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</si>
  <si>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</si>
  <si>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</si>
  <si>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</si>
  <si>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</si>
  <si>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</si>
  <si>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</si>
  <si>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</si>
  <si>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</si>
  <si>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</si>
  <si>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</si>
  <si>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</si>
  <si>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</si>
  <si>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</si>
  <si>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</si>
  <si>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</si>
  <si>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</si>
  <si>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</si>
  <si>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</si>
  <si>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</si>
  <si>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</si>
  <si>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</si>
  <si>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</si>
  <si>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</si>
  <si>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</si>
  <si>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</si>
  <si>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</si>
  <si>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</si>
  <si>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</si>
  <si>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</si>
  <si>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</si>
  <si>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</si>
  <si>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</si>
  <si>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</si>
  <si>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</si>
  <si>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</si>
  <si>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</si>
  <si>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</si>
  <si>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</si>
  <si>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</si>
  <si>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</si>
  <si>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</si>
  <si>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</si>
  <si>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</si>
  <si>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</si>
  <si>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</si>
  <si>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</si>
  <si>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</si>
  <si>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</si>
  <si>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</si>
  <si>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</si>
  <si>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</si>
  <si>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</si>
  <si>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</si>
  <si>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</si>
  <si>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</si>
  <si>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</si>
  <si>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</si>
  <si>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</si>
  <si>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</si>
  <si>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</si>
  <si>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</si>
  <si>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</si>
  <si>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</si>
  <si>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</si>
  <si>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</si>
  <si>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</si>
  <si>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</si>
  <si>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</si>
  <si>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</si>
  <si>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</si>
  <si>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</si>
  <si>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</si>
  <si>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</si>
  <si>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</si>
  <si>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</si>
  <si>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</si>
  <si>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</si>
  <si>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</si>
  <si>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</si>
  <si>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</si>
  <si>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</si>
  <si>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</si>
  <si>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</si>
  <si>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</si>
  <si>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</si>
  <si>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</si>
  <si>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</si>
  <si>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</si>
  <si>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</si>
  <si>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</si>
  <si>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</si>
  <si>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</si>
  <si>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</si>
  <si>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</si>
  <si>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</si>
  <si>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</si>
  <si>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</si>
  <si>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</si>
  <si>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</si>
  <si>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</si>
  <si>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</si>
  <si>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</si>
  <si>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</si>
  <si>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</si>
  <si>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</si>
  <si>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</si>
  <si>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</si>
  <si>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</si>
  <si>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</si>
  <si>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</si>
  <si>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</si>
  <si>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</si>
  <si>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</si>
  <si>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</si>
  <si>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</si>
  <si>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</si>
  <si>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</si>
  <si>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</si>
  <si>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</si>
  <si>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</si>
  <si>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</si>
  <si>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</si>
  <si>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</si>
  <si>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</si>
  <si>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</si>
  <si>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</si>
  <si>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</si>
  <si>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</si>
  <si>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</si>
  <si>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</si>
  <si>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</si>
  <si>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</si>
  <si>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</si>
  <si>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</si>
  <si>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</si>
  <si>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</si>
  <si>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</si>
  <si>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</si>
  <si>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</si>
  <si>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</si>
  <si>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</si>
  <si>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</si>
  <si>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</si>
  <si>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</si>
  <si>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</si>
  <si>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</si>
  <si>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</si>
  <si>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</si>
  <si>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</si>
  <si>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</si>
  <si>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</si>
  <si>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</si>
  <si>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</si>
  <si>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</si>
  <si>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</si>
  <si>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</si>
  <si>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</si>
  <si>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</si>
  <si>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</si>
  <si>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</si>
  <si>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</si>
  <si>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</si>
  <si>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</si>
  <si>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</si>
  <si>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</si>
  <si>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</si>
  <si>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</si>
  <si>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</si>
  <si>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</si>
  <si>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</si>
  <si>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</si>
  <si>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</si>
  <si>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</si>
  <si>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</si>
  <si>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</si>
  <si>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</si>
  <si>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</si>
  <si>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</si>
  <si>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</si>
  <si>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</si>
  <si>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</si>
  <si>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</si>
  <si>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</si>
  <si>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</si>
  <si>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</si>
  <si>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</si>
  <si>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</si>
  <si>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</si>
  <si>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</si>
  <si>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</si>
  <si>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</si>
  <si>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</si>
  <si>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</si>
  <si>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</si>
  <si>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</si>
  <si>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</si>
  <si>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</si>
  <si>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</si>
  <si>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</si>
  <si>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</si>
  <si>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</si>
  <si>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</si>
  <si>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</si>
  <si>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</si>
  <si>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</si>
  <si>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</si>
  <si>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</si>
  <si>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</si>
  <si>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</si>
  <si>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</si>
  <si>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</si>
  <si>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</si>
  <si>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</si>
  <si>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</si>
  <si>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</si>
  <si>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</si>
  <si>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</si>
  <si>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</si>
  <si>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</si>
  <si>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</si>
  <si>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</si>
  <si>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</si>
  <si>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</si>
  <si>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</si>
  <si>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</si>
  <si>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</si>
  <si>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</si>
  <si>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</si>
  <si>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</si>
  <si>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</si>
  <si>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</si>
  <si>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</si>
  <si>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</si>
  <si>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</si>
  <si>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</si>
  <si>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</si>
  <si>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</si>
  <si>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</si>
  <si>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</si>
  <si>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</si>
  <si>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</si>
  <si>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</si>
  <si>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</si>
  <si>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</si>
  <si>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</si>
  <si>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</si>
  <si>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</si>
  <si>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</si>
  <si>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</si>
  <si>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</si>
  <si>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</si>
  <si>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</si>
  <si>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</si>
  <si>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</si>
  <si>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</si>
  <si>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</si>
  <si>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</si>
  <si>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</si>
  <si>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</si>
  <si>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</si>
  <si>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</si>
  <si>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</si>
  <si>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</si>
  <si>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</si>
  <si>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</si>
  <si>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</si>
  <si>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</si>
  <si>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</si>
  <si>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</si>
  <si>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</si>
  <si>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</si>
  <si>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</si>
  <si>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</si>
  <si>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</si>
  <si>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</si>
  <si>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</si>
  <si>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</si>
  <si>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</si>
  <si>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</si>
  <si>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</si>
  <si>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</si>
  <si>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</si>
  <si>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</si>
  <si>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</si>
  <si>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</si>
  <si>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</si>
  <si>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</si>
  <si>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</si>
  <si>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</si>
  <si>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</si>
  <si>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</si>
  <si>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</si>
  <si>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</si>
  <si>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</si>
  <si>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</si>
  <si>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</si>
  <si>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</si>
  <si>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</si>
  <si>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</si>
  <si>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</si>
  <si>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</si>
  <si>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</si>
  <si>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</si>
  <si>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</si>
  <si>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</si>
  <si>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</si>
  <si>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</si>
  <si>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</si>
  <si>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</si>
  <si>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</si>
  <si>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</si>
  <si>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</si>
  <si>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</si>
  <si>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</si>
  <si>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</si>
  <si>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</si>
  <si>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</si>
  <si>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</si>
  <si>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</si>
  <si>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</si>
  <si>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</si>
  <si>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</si>
  <si>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</si>
  <si>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</si>
  <si>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</si>
  <si>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</si>
  <si>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</si>
  <si>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</si>
  <si>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</si>
  <si>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</si>
  <si>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</si>
  <si>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</si>
  <si>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</si>
  <si>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</si>
  <si>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</si>
  <si>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</si>
  <si>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</si>
  <si>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</si>
  <si>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</si>
  <si>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</si>
  <si>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</si>
  <si>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</si>
  <si>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</si>
  <si>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</si>
  <si>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</si>
  <si>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</si>
  <si>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</si>
  <si>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</si>
  <si>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</si>
  <si>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</si>
  <si>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</si>
  <si>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</si>
  <si>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</si>
  <si>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</si>
  <si>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</si>
  <si>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</si>
  <si>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</si>
  <si>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</si>
  <si>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</si>
  <si>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</si>
  <si>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</si>
  <si>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</si>
  <si>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</si>
  <si>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</si>
  <si>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</si>
  <si>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</si>
  <si>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</si>
  <si>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</si>
  <si>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</si>
  <si>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</si>
  <si>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</si>
  <si>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</si>
  <si>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</si>
  <si>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</si>
  <si>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</si>
  <si>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</si>
  <si>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</si>
  <si>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</si>
  <si>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</si>
  <si>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</si>
  <si>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</si>
  <si>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</si>
  <si>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</si>
  <si>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</si>
  <si>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</si>
  <si>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</si>
  <si>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</si>
  <si>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</si>
  <si>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</si>
  <si>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</si>
  <si>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</si>
  <si>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</si>
  <si>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</si>
  <si>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</si>
  <si>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</si>
  <si>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</si>
  <si>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</si>
  <si>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</si>
  <si>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</si>
  <si>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</si>
  <si>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</si>
  <si>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</si>
  <si>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</si>
  <si>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</si>
  <si>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</si>
  <si>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</si>
  <si>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</si>
  <si>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</si>
  <si>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</si>
  <si>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</si>
  <si>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</si>
  <si>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</si>
  <si>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</si>
  <si>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</si>
  <si>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</si>
  <si>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</si>
  <si>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</si>
  <si>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</si>
  <si>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</si>
  <si>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</si>
  <si>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</si>
  <si>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</si>
  <si>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</si>
  <si>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</si>
  <si>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</si>
  <si>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</si>
  <si>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</si>
  <si>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</si>
  <si>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</si>
  <si>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</si>
  <si>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</si>
  <si>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</si>
  <si>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</si>
  <si>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</si>
  <si>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</si>
  <si>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</si>
  <si>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</si>
  <si>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</si>
  <si>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</si>
  <si>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</si>
  <si>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</si>
  <si>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</si>
  <si>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</si>
  <si>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</si>
  <si>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</si>
  <si>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</si>
  <si>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</si>
  <si>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</si>
  <si>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</si>
  <si>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</si>
  <si>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</si>
  <si>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</si>
  <si>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</si>
  <si>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</si>
  <si>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</si>
  <si>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</si>
  <si>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</si>
  <si>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</si>
  <si>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</si>
  <si>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</si>
  <si>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</si>
  <si>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</si>
  <si>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</si>
  <si>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</si>
  <si>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</si>
  <si>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</si>
  <si>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</si>
  <si>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</si>
  <si>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</si>
  <si>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</si>
  <si>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</si>
  <si>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</si>
  <si>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</si>
  <si>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</si>
  <si>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</si>
  <si>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</si>
  <si>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</si>
  <si>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</si>
  <si>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</si>
  <si>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</si>
  <si>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</si>
  <si>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</si>
  <si>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</si>
  <si>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</si>
  <si>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</si>
  <si>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</si>
  <si>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</si>
  <si>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</si>
  <si>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</si>
  <si>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</si>
  <si>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</si>
  <si>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</si>
  <si>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</si>
  <si>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</si>
  <si>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</si>
  <si>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</si>
  <si>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</si>
  <si>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</si>
  <si>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</si>
  <si>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</si>
  <si>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</si>
  <si>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</si>
  <si>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</si>
  <si>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</si>
  <si>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</si>
  <si>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</si>
  <si>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</si>
  <si>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</si>
  <si>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</si>
  <si>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</si>
  <si>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</si>
  <si>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</si>
  <si>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</si>
  <si>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</si>
  <si>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</si>
  <si>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</si>
  <si>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</si>
  <si>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</si>
  <si>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</si>
  <si>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</si>
  <si>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</si>
  <si>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</si>
  <si>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</si>
  <si>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</si>
  <si>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</si>
  <si>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</si>
  <si>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</si>
  <si>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</si>
  <si>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</si>
  <si>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</si>
  <si>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</si>
  <si>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</si>
  <si>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</si>
  <si>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</si>
  <si>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</si>
  <si>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</si>
  <si>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</si>
  <si>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</si>
  <si>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</si>
  <si>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</si>
  <si>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</si>
  <si>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</si>
  <si>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</si>
  <si>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</si>
  <si>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</si>
  <si>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</si>
  <si>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</si>
  <si>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</si>
  <si>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</si>
  <si>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</si>
  <si>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</si>
  <si>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</si>
  <si>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</si>
  <si>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</si>
  <si>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</si>
  <si>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</si>
  <si>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</si>
  <si>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</si>
  <si>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</si>
  <si>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</si>
  <si>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</si>
  <si>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</si>
  <si>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</si>
  <si>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</si>
  <si>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</si>
  <si>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</si>
  <si>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</si>
  <si>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</si>
  <si>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</si>
  <si>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</si>
  <si>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</si>
  <si>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</si>
  <si>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</si>
  <si>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</si>
  <si>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</si>
  <si>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</si>
  <si>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</si>
  <si>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</si>
  <si>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</si>
  <si>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</si>
  <si>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</si>
  <si>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</si>
  <si>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</si>
  <si>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</si>
  <si>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</si>
  <si>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</si>
  <si>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</si>
  <si>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</si>
  <si>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</si>
  <si>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</si>
  <si>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</si>
  <si>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</si>
  <si>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</si>
  <si>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</si>
  <si>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</si>
  <si>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</si>
  <si>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</si>
  <si>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</si>
  <si>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</si>
  <si>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</si>
  <si>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</si>
  <si>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</si>
  <si>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</si>
  <si>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</si>
  <si>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</si>
  <si>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</si>
  <si>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</si>
  <si>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</si>
  <si>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</si>
  <si>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</si>
  <si>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</si>
  <si>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</si>
  <si>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</si>
  <si>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</si>
  <si>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</si>
  <si>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</si>
  <si>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</si>
  <si>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</si>
  <si>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</si>
  <si>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</si>
  <si>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</si>
  <si>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</si>
  <si>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</si>
  <si>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</si>
  <si>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</si>
  <si>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</si>
  <si>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</si>
  <si>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</si>
  <si>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</si>
  <si>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</si>
  <si>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</si>
  <si>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</si>
  <si>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</si>
  <si>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</si>
  <si>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</si>
  <si>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</si>
  <si>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</si>
  <si>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</si>
  <si>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</si>
  <si>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</si>
  <si>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</si>
  <si>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</si>
  <si>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</si>
  <si>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</si>
  <si>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</si>
  <si>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</si>
  <si>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</si>
  <si>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</si>
  <si>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</si>
  <si>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</si>
  <si>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</si>
  <si>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</si>
  <si>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</si>
  <si>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</si>
  <si>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</si>
  <si>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</si>
  <si>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</si>
  <si>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</si>
  <si>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</si>
  <si>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</si>
  <si>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</si>
  <si>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</si>
  <si>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</si>
  <si>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</si>
  <si>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</si>
  <si>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</si>
  <si>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</si>
  <si>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</si>
  <si>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</si>
  <si>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</si>
  <si>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</si>
  <si>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</si>
  <si>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</si>
  <si>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</si>
  <si>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</si>
  <si>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</si>
  <si>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</si>
  <si>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</si>
  <si>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</si>
  <si>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</si>
  <si>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</si>
  <si>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</si>
  <si>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</si>
  <si>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</si>
  <si>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</si>
  <si>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</si>
  <si>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</si>
  <si>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</si>
  <si>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</si>
  <si>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</si>
  <si>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</si>
  <si>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</si>
  <si>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</si>
  <si>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</si>
  <si>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</si>
  <si>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</si>
  <si>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</si>
  <si>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</si>
  <si>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</si>
  <si>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</si>
  <si>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</si>
  <si>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</si>
  <si>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</si>
  <si>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</si>
  <si>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</si>
  <si>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</si>
  <si>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</si>
  <si>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</si>
  <si>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</si>
  <si>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</si>
  <si>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</si>
  <si>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</si>
  <si>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</si>
  <si>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</si>
  <si>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</si>
  <si>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</si>
  <si>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</si>
  <si>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</si>
  <si>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</si>
  <si>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</si>
  <si>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</si>
  <si>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</si>
  <si>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</si>
  <si>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</si>
  <si>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</si>
  <si>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</si>
  <si>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</si>
  <si>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</si>
  <si>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</si>
  <si>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</si>
  <si>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</si>
  <si>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</si>
  <si>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</si>
  <si>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</si>
  <si>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</si>
  <si>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</si>
  <si>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</si>
  <si>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</si>
  <si>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</si>
  <si>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</si>
  <si>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</si>
  <si>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</si>
  <si>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</si>
  <si>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</si>
  <si>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</si>
  <si>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</si>
  <si>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</si>
  <si>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</si>
  <si>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</si>
  <si>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</si>
  <si>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</si>
  <si>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</si>
  <si>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</si>
  <si>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</si>
  <si>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</si>
  <si>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</si>
  <si>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</si>
  <si>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</si>
  <si>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</si>
  <si>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</si>
  <si>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</si>
  <si>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</si>
  <si>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</si>
  <si>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</si>
  <si>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</si>
  <si>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</si>
  <si>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</si>
  <si>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</si>
  <si>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</si>
  <si>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</si>
  <si>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</si>
  <si>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</si>
  <si>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</si>
  <si>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</si>
  <si>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</si>
  <si>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</si>
  <si>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</si>
  <si>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</si>
  <si>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</si>
  <si>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</si>
  <si>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</si>
  <si>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</si>
  <si>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</si>
  <si>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</si>
  <si>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</si>
  <si>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</si>
  <si>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</si>
  <si>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</si>
  <si>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</si>
  <si>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</si>
  <si>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</si>
  <si>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</si>
  <si>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</si>
  <si>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</si>
  <si>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</si>
  <si>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</si>
  <si>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</si>
  <si>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</si>
  <si>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</si>
  <si>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</si>
  <si>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</si>
  <si>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</si>
  <si>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</si>
  <si>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</si>
  <si>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</si>
  <si>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</si>
  <si>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</si>
  <si>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</si>
  <si>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</si>
  <si>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</si>
  <si>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</si>
  <si>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</si>
  <si>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</si>
  <si>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</si>
  <si>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</si>
  <si>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</si>
  <si>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</si>
  <si>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</si>
  <si>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</si>
  <si>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</si>
  <si>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</si>
  <si>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</si>
  <si>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</si>
  <si>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</si>
  <si>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</si>
  <si>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</si>
  <si>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</si>
  <si>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</si>
  <si>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</si>
  <si>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</si>
  <si>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</si>
  <si>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</si>
  <si>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</si>
  <si>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</si>
  <si>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</si>
  <si>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</si>
  <si>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</si>
  <si>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</si>
  <si>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</si>
  <si>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</si>
  <si>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</si>
  <si>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</si>
  <si>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</si>
  <si>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</si>
  <si>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</si>
  <si>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</si>
  <si>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</si>
  <si>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</si>
  <si>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</si>
  <si>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</si>
  <si>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</si>
  <si>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</si>
  <si>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</si>
  <si>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</si>
  <si>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</si>
  <si>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</si>
  <si>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</si>
  <si>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</si>
  <si>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</si>
  <si>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</si>
  <si>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</si>
  <si>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</si>
  <si>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</si>
  <si>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</si>
  <si>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</si>
  <si>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</si>
  <si>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</si>
  <si>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</si>
  <si>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</si>
  <si>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</si>
  <si>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</si>
  <si>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</si>
  <si>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</si>
  <si>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</si>
  <si>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</si>
  <si>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</si>
  <si>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</si>
  <si>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</si>
  <si>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</si>
  <si>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</si>
  <si>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</si>
  <si>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</si>
  <si>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</si>
  <si>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</si>
  <si>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</si>
  <si>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</si>
  <si>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</si>
  <si>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</si>
  <si>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</si>
  <si>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</si>
  <si>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</si>
  <si>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</si>
  <si>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</si>
  <si>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</si>
  <si>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</si>
  <si>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</si>
  <si>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</si>
  <si>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</si>
  <si>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</si>
  <si>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</si>
  <si>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</si>
  <si>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</si>
  <si>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</si>
  <si>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</si>
  <si>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</si>
  <si>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</si>
  <si>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</si>
  <si>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</si>
  <si>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</si>
  <si>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</si>
  <si>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</si>
  <si>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</si>
  <si>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</si>
  <si>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</si>
  <si>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</si>
  <si>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</si>
  <si>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</si>
  <si>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</si>
  <si>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</si>
  <si>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</si>
  <si>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</si>
  <si>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</si>
  <si>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</si>
  <si>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</si>
  <si>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</si>
  <si>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</si>
  <si>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</si>
  <si>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</si>
  <si>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</si>
  <si>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</si>
  <si>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</si>
  <si>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</si>
  <si>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</si>
  <si>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</si>
  <si>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</si>
  <si>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</si>
  <si>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</si>
  <si>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</si>
  <si>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</si>
  <si>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</si>
  <si>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</si>
  <si>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</si>
  <si>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</si>
  <si>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</si>
  <si>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</si>
  <si>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</si>
  <si>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</si>
  <si>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</si>
  <si>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</si>
  <si>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</si>
  <si>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</si>
  <si>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</si>
  <si>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</si>
  <si>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</si>
  <si>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</si>
  <si>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</si>
  <si>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</si>
  <si>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</si>
  <si>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</si>
  <si>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</si>
  <si>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</si>
  <si>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</si>
  <si>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</si>
  <si>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</si>
  <si>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</si>
  <si>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</si>
  <si>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</si>
  <si>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</si>
  <si>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</si>
  <si>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</si>
  <si>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</si>
  <si>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</si>
  <si>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</si>
  <si>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</si>
  <si>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</si>
  <si>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</si>
  <si>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</si>
  <si>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</si>
  <si>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</si>
  <si>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</si>
  <si>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</si>
  <si>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</si>
  <si>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</si>
  <si>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</si>
  <si>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</si>
  <si>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</si>
  <si>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</si>
  <si>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</si>
  <si>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</si>
  <si>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</si>
  <si>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</si>
  <si>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</si>
  <si>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</si>
  <si>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</si>
  <si>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</si>
  <si>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</si>
  <si>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</si>
  <si>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</si>
  <si>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</si>
  <si>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</si>
  <si>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</si>
  <si>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</si>
  <si>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</si>
  <si>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</si>
  <si>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</si>
  <si>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</si>
  <si>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</si>
  <si>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</si>
  <si>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</si>
  <si>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</si>
  <si>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</si>
  <si>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</si>
  <si>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</si>
  <si>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</si>
  <si>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</si>
  <si>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</si>
  <si>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</si>
  <si>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</si>
  <si>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</si>
  <si>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</si>
  <si>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</si>
  <si>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</si>
  <si>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</si>
  <si>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</si>
  <si>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</si>
  <si>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</si>
  <si>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</si>
  <si>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</si>
  <si>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</si>
  <si>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</si>
  <si>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</si>
  <si>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</si>
  <si>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</si>
  <si>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</si>
  <si>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</si>
  <si>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</si>
  <si>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</si>
  <si>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</si>
  <si>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</si>
  <si>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</si>
  <si>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</si>
  <si>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</si>
  <si>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</si>
  <si>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</si>
  <si>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</si>
  <si>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</si>
  <si>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</si>
  <si>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</si>
  <si>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</si>
  <si>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</si>
  <si>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</si>
  <si>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</si>
  <si>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</si>
  <si>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</si>
  <si>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</si>
  <si>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</si>
  <si>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</si>
  <si>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</si>
  <si>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</si>
  <si>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</si>
  <si>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</si>
  <si>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</si>
  <si>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</si>
  <si>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</si>
  <si>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</si>
  <si>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</si>
  <si>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</si>
  <si>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</si>
  <si>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</si>
  <si>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</si>
  <si>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</si>
  <si>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</si>
  <si>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</si>
  <si>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</si>
  <si>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</si>
  <si>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</si>
  <si>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</si>
  <si>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</si>
  <si>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</si>
  <si>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</si>
  <si>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</si>
  <si>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</si>
  <si>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</si>
  <si>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</si>
  <si>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</si>
  <si>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</si>
  <si>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</si>
  <si>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</si>
  <si>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</si>
  <si>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</si>
  <si>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</si>
  <si>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</si>
  <si>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</si>
  <si>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</si>
  <si>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</si>
  <si>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</si>
  <si>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</si>
  <si>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</si>
  <si>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</si>
  <si>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</si>
  <si>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</si>
  <si>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</si>
  <si>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</si>
  <si>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</si>
  <si>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</si>
  <si>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</si>
  <si>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</si>
  <si>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</si>
  <si>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</si>
  <si>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</si>
  <si>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</si>
  <si>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</si>
  <si>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</si>
  <si>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</si>
  <si>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</si>
  <si>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</si>
  <si>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</si>
  <si>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</si>
  <si>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</si>
  <si>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</si>
  <si>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</si>
  <si>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</si>
  <si>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</si>
  <si>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</si>
  <si>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</si>
  <si>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</si>
  <si>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</si>
  <si>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</si>
  <si>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</si>
  <si>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</si>
  <si>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</si>
  <si>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</si>
  <si>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</si>
  <si>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</si>
  <si>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</si>
  <si>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</si>
  <si>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</si>
  <si>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</si>
  <si>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</si>
  <si>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</si>
  <si>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</si>
  <si>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</si>
  <si>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</si>
  <si>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</si>
  <si>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</si>
  <si>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</si>
  <si>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</si>
  <si>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</si>
  <si>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</si>
  <si>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</si>
  <si>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</si>
  <si>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</si>
  <si>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</si>
  <si>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</si>
  <si>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</si>
  <si>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</si>
  <si>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</si>
  <si>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</si>
  <si>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</si>
  <si>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</si>
  <si>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</si>
  <si>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</si>
  <si>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</si>
  <si>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</si>
  <si>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</si>
  <si>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</si>
  <si>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</si>
  <si>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</si>
  <si>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</si>
  <si>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</si>
  <si>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</si>
  <si>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</si>
  <si>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</si>
  <si>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</si>
  <si>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</si>
  <si>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</si>
  <si>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</si>
  <si>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</si>
  <si>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</si>
  <si>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</si>
  <si>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</si>
  <si>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</si>
  <si>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</si>
  <si>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</si>
  <si>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</si>
  <si>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</si>
  <si>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</si>
  <si>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</si>
  <si>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</si>
  <si>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</si>
  <si>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</si>
  <si>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</si>
  <si>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</si>
  <si>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</si>
  <si>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</si>
  <si>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</si>
  <si>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</si>
  <si>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</si>
  <si>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</si>
  <si>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</si>
  <si>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</si>
  <si>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</si>
  <si>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</si>
  <si>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</si>
  <si>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</si>
  <si>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</si>
  <si>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</si>
  <si>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</si>
  <si>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</si>
  <si>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</si>
  <si>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</si>
  <si>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</si>
  <si>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</si>
  <si>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</si>
  <si>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</si>
  <si>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</si>
  <si>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</si>
  <si>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</si>
  <si>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</si>
  <si>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</si>
  <si>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</si>
  <si>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</si>
  <si>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</si>
  <si>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</si>
  <si>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</si>
  <si>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</si>
  <si>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</si>
  <si>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</si>
  <si>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</si>
  <si>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</si>
  <si>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</si>
  <si>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</si>
  <si>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</si>
  <si>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</si>
  <si>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</si>
  <si>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</si>
  <si>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</si>
  <si>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</si>
  <si>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</si>
  <si>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</si>
  <si>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</si>
  <si>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</si>
  <si>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</si>
  <si>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</si>
  <si>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</si>
  <si>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</si>
  <si>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</si>
  <si>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</si>
  <si>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</si>
  <si>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</si>
  <si>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</si>
  <si>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</si>
  <si>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</si>
  <si>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</si>
  <si>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</si>
  <si>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</si>
  <si>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</si>
  <si>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</si>
  <si>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</si>
  <si>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</si>
  <si>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</si>
  <si>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</si>
  <si>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</si>
  <si>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</si>
  <si>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</si>
  <si>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</si>
  <si>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</si>
  <si>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</si>
  <si>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</si>
  <si>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</si>
  <si>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</si>
  <si>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</si>
  <si>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</si>
  <si>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</si>
  <si>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</si>
  <si>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</si>
  <si>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</si>
  <si>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</si>
  <si>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</si>
  <si>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</si>
  <si>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</si>
  <si>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</si>
  <si>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</si>
  <si>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</si>
  <si>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</si>
  <si>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</si>
  <si>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</si>
  <si>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</si>
  <si>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</si>
  <si>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</si>
  <si>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</si>
  <si>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</si>
  <si>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</si>
  <si>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</si>
  <si>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</si>
  <si>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</si>
  <si>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</si>
  <si>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</si>
  <si>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</si>
  <si>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</si>
  <si>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</si>
  <si>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</si>
  <si>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</si>
  <si>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</si>
  <si>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</si>
  <si>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</si>
  <si>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</si>
  <si>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</si>
  <si>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</si>
  <si>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</si>
  <si>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</si>
  <si>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</si>
  <si>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</si>
  <si>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</si>
  <si>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</si>
  <si>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</si>
  <si>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</si>
  <si>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</si>
  <si>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</si>
  <si>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</si>
  <si>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</si>
  <si>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</si>
  <si>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</si>
  <si>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</si>
  <si>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</si>
  <si>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</si>
  <si>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</si>
  <si>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</si>
  <si>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</si>
  <si>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</si>
  <si>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</si>
  <si>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</si>
  <si>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</si>
  <si>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</si>
  <si>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</si>
  <si>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</si>
  <si>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</si>
  <si>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</si>
  <si>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</si>
  <si>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</si>
  <si>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</si>
  <si>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</si>
  <si>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</si>
  <si>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</si>
  <si>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</si>
  <si>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</si>
  <si>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</si>
  <si>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</si>
  <si>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</si>
  <si>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</si>
  <si>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</si>
  <si>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</si>
  <si>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</si>
  <si>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</si>
  <si>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</si>
  <si>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</si>
  <si>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</si>
  <si>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</si>
  <si>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</si>
  <si>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</si>
  <si>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</si>
  <si>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</si>
  <si>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</si>
  <si>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</si>
  <si>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</si>
  <si>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</si>
  <si>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</si>
  <si>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</si>
  <si>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</si>
  <si>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</si>
  <si>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</si>
  <si>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</si>
  <si>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</si>
  <si>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</si>
  <si>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</si>
  <si>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</si>
  <si>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</si>
  <si>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</si>
  <si>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</si>
  <si>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</si>
  <si>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</si>
  <si>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</si>
  <si>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</si>
  <si>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</si>
  <si>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</si>
  <si>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</si>
  <si>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</si>
  <si>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</si>
  <si>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</si>
  <si>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</si>
  <si>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</si>
  <si>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</si>
  <si>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</si>
  <si>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</si>
  <si>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</si>
  <si>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</si>
  <si>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</si>
  <si>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</si>
  <si>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</si>
  <si>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</si>
  <si>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</si>
  <si>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</si>
  <si>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</si>
  <si>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</si>
  <si>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</si>
  <si>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</si>
  <si>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</si>
  <si>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</si>
  <si>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</si>
  <si>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</si>
  <si>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</si>
  <si>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</si>
  <si>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</si>
  <si>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</si>
  <si>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</si>
  <si>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</si>
  <si>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</si>
  <si>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</si>
  <si>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</si>
  <si>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</si>
  <si>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</si>
  <si>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</si>
  <si>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</si>
  <si>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</si>
  <si>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</si>
  <si>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</si>
  <si>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</si>
  <si>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</si>
  <si>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</si>
  <si>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</si>
  <si>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</si>
  <si>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</si>
  <si>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</si>
  <si>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</si>
  <si>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</si>
  <si>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</si>
  <si>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</si>
  <si>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</si>
  <si>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</si>
  <si>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</si>
  <si>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</si>
  <si>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</si>
  <si>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</si>
  <si>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</si>
  <si>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</si>
  <si>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</si>
  <si>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</si>
  <si>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</si>
  <si>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</si>
  <si>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</si>
  <si>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</si>
  <si>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</si>
  <si>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</si>
  <si>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</si>
  <si>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</si>
  <si>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</si>
  <si>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</si>
  <si>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</si>
  <si>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</si>
  <si>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</si>
  <si>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</si>
  <si>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</si>
  <si>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</si>
  <si>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</si>
  <si>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</si>
  <si>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</si>
  <si>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</si>
  <si>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</si>
  <si>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</si>
  <si>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</si>
  <si>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</si>
  <si>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</si>
  <si>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</si>
  <si>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</si>
  <si>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</si>
  <si>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</si>
  <si>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</si>
  <si>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</si>
  <si>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</si>
  <si>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</si>
  <si>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</si>
  <si>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</si>
  <si>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</si>
  <si>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</si>
  <si>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</si>
  <si>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</si>
  <si>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</si>
  <si>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</si>
  <si>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</si>
  <si>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</si>
  <si>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</si>
  <si>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</si>
  <si>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</si>
  <si>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</si>
  <si>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</si>
  <si>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</si>
  <si>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</si>
  <si>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</si>
  <si>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</si>
  <si>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</si>
  <si>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</si>
  <si>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</si>
  <si>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</si>
  <si>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</si>
  <si>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</si>
  <si>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</si>
  <si>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</si>
  <si>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</si>
  <si>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</si>
  <si>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</si>
  <si>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</si>
  <si>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</si>
  <si>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</si>
  <si>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</si>
  <si>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</si>
  <si>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</si>
  <si>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</si>
  <si>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</si>
  <si>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</si>
  <si>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</si>
  <si>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</si>
  <si>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</si>
  <si>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</si>
  <si>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</si>
  <si>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</si>
  <si>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</si>
  <si>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</si>
  <si>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</si>
  <si>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</si>
  <si>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</si>
  <si>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</si>
  <si>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</si>
  <si>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</si>
  <si>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</si>
  <si>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</si>
  <si>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</si>
  <si>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</si>
  <si>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</si>
  <si>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</si>
  <si>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</si>
  <si>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</si>
  <si>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</si>
  <si>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</si>
  <si>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</si>
  <si>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</si>
  <si>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</si>
  <si>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</si>
  <si>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</si>
  <si>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</si>
  <si>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</si>
  <si>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</si>
  <si>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</si>
  <si>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</si>
  <si>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</si>
  <si>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</si>
  <si>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</si>
  <si>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</si>
  <si>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</si>
  <si>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</si>
  <si>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</si>
  <si>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</si>
  <si>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</si>
  <si>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</si>
  <si>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</si>
  <si>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</si>
  <si>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</si>
  <si>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</si>
  <si>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</si>
  <si>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</si>
  <si>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</si>
  <si>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</si>
  <si>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</si>
  <si>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</si>
  <si>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</si>
  <si>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</si>
  <si>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</si>
  <si>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</si>
  <si>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</si>
  <si>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</si>
  <si>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</si>
  <si>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</si>
  <si>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</si>
  <si>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</si>
  <si>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</si>
  <si>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</si>
  <si>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</si>
  <si>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</si>
  <si>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</si>
  <si>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</si>
  <si>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</si>
  <si>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</si>
  <si>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</si>
  <si>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</si>
  <si>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</si>
  <si>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</si>
  <si>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</si>
  <si>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</si>
  <si>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</si>
  <si>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</si>
  <si>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</si>
  <si>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</si>
  <si>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</si>
  <si>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</si>
  <si>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</si>
  <si>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</si>
  <si>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</si>
  <si>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</si>
  <si>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</si>
  <si>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</si>
  <si>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</si>
  <si>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</si>
  <si>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</si>
  <si>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</si>
  <si>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</si>
  <si>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</si>
  <si>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</si>
  <si>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</si>
  <si>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</si>
  <si>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</si>
  <si>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</si>
  <si>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</si>
  <si>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</si>
  <si>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</si>
  <si>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</si>
  <si>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</si>
  <si>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</si>
  <si>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</si>
  <si>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</si>
  <si>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</si>
  <si>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</si>
  <si>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</si>
  <si>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</si>
  <si>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</si>
  <si>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</si>
  <si>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</si>
  <si>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</si>
  <si>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</si>
  <si>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</si>
  <si>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</si>
  <si>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</si>
  <si>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</si>
  <si>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</si>
  <si>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</si>
  <si>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</si>
  <si>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</si>
  <si>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</si>
  <si>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</si>
  <si>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</si>
  <si>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</si>
  <si>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</si>
  <si>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</si>
  <si>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</si>
  <si>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</si>
  <si>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</si>
  <si>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</si>
  <si>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</si>
  <si>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</si>
  <si>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</si>
  <si>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</si>
  <si>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</si>
  <si>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</si>
  <si>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</si>
  <si>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</si>
  <si>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</si>
  <si>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</si>
  <si>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</si>
  <si>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</si>
  <si>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</si>
  <si>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</si>
  <si>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</si>
  <si>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</si>
  <si>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</si>
  <si>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</si>
  <si>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</si>
  <si>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</si>
  <si>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</si>
  <si>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</si>
  <si>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</si>
  <si>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</si>
  <si>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</si>
  <si>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</si>
  <si>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</si>
  <si>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</si>
  <si>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</si>
  <si>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</si>
  <si>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</si>
  <si>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</si>
  <si>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</si>
  <si>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</si>
  <si>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</si>
  <si>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</si>
  <si>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</si>
  <si>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</si>
  <si>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</si>
  <si>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</si>
  <si>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</si>
  <si>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</si>
  <si>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</si>
  <si>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</si>
  <si>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</si>
  <si>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</si>
  <si>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</si>
  <si>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</si>
  <si>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</si>
  <si>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</si>
  <si>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</si>
  <si>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</si>
  <si>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</si>
  <si>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</si>
  <si>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</si>
  <si>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</si>
  <si>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</si>
  <si>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</si>
  <si>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</si>
  <si>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</si>
  <si>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</si>
  <si>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</si>
  <si>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</si>
  <si>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</si>
  <si>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</si>
  <si>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</si>
  <si>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</si>
  <si>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</si>
  <si>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</si>
  <si>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</si>
  <si>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</si>
  <si>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</si>
  <si>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</si>
  <si>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</si>
  <si>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</si>
  <si>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</si>
  <si>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</si>
  <si>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</si>
  <si>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</si>
  <si>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</si>
  <si>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</si>
  <si>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</si>
  <si>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</si>
  <si>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</si>
  <si>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</si>
  <si>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</si>
  <si>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</si>
  <si>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</si>
  <si>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</si>
  <si>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</si>
  <si>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</si>
  <si>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</si>
  <si>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</si>
  <si>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</si>
  <si>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</si>
  <si>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</si>
  <si>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</si>
  <si>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</si>
  <si>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</si>
  <si>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</si>
  <si>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</si>
  <si>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</si>
  <si>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</si>
  <si>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</si>
  <si>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</si>
  <si>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</si>
  <si>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</si>
  <si>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</si>
  <si>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</si>
  <si>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</si>
  <si>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</si>
  <si>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</si>
  <si>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</si>
  <si>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</si>
  <si>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</si>
  <si>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</si>
  <si>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</si>
  <si>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</si>
  <si>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</si>
  <si>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</si>
  <si>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</si>
  <si>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</si>
  <si>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</si>
  <si>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</si>
  <si>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</si>
  <si>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</si>
  <si>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</si>
  <si>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</si>
  <si>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</si>
  <si>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</si>
  <si>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</si>
  <si>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</si>
  <si>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</si>
  <si>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</si>
  <si>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</si>
  <si>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</si>
  <si>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</si>
  <si>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</si>
  <si>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</si>
  <si>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</si>
  <si>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</si>
  <si>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</si>
  <si>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</si>
  <si>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</si>
  <si>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</si>
  <si>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</si>
  <si>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</si>
  <si>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</si>
  <si>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</si>
  <si>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</si>
  <si>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</si>
  <si>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</si>
  <si>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</si>
  <si>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</si>
  <si>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</si>
  <si>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</si>
  <si>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</si>
  <si>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</si>
  <si>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</si>
  <si>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</si>
  <si>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</si>
  <si>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</si>
  <si>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</si>
  <si>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</si>
  <si>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</si>
  <si>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</si>
  <si>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</si>
  <si>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</si>
  <si>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</si>
  <si>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</si>
  <si>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</si>
  <si>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</si>
  <si>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</si>
  <si>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</si>
  <si>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</si>
  <si>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</si>
  <si>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</si>
  <si>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</si>
  <si>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</si>
  <si>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</si>
  <si>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</si>
  <si>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</si>
  <si>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</si>
  <si>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</si>
  <si>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</si>
  <si>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</si>
  <si>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</si>
  <si>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</si>
  <si>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</si>
  <si>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</si>
  <si>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</si>
  <si>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</si>
  <si>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</si>
  <si>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</si>
  <si>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</si>
  <si>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</si>
  <si>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</si>
  <si>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</si>
  <si>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</si>
  <si>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</si>
  <si>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</si>
  <si>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</si>
  <si>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</si>
  <si>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</si>
  <si>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</si>
  <si>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</si>
  <si>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</si>
  <si>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</si>
  <si>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</si>
  <si>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</si>
  <si>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</si>
  <si>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</si>
  <si>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</si>
  <si>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</si>
  <si>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</si>
  <si>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</si>
  <si>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</si>
  <si>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</si>
  <si>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</si>
  <si>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</si>
  <si>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</si>
  <si>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</si>
  <si>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</si>
  <si>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</si>
  <si>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</si>
  <si>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</si>
  <si>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</si>
  <si>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</si>
  <si>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</si>
  <si>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</si>
  <si>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</si>
  <si>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</si>
  <si>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</si>
  <si>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</si>
  <si>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</si>
  <si>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</si>
  <si>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</si>
  <si>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</si>
  <si>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</si>
  <si>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</si>
  <si>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</si>
  <si>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</si>
  <si>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</si>
  <si>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</si>
  <si>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</si>
  <si>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</si>
  <si>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</si>
  <si>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</si>
  <si>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</si>
  <si>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</si>
  <si>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</si>
  <si>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</si>
  <si>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</si>
  <si>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</si>
  <si>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</si>
  <si>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</si>
  <si>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</si>
  <si>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</si>
  <si>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</si>
  <si>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</si>
  <si>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</si>
  <si>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</si>
  <si>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</si>
  <si>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</si>
  <si>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</si>
  <si>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</si>
  <si>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</si>
  <si>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</si>
  <si>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</si>
  <si>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</si>
  <si>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</si>
  <si>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</si>
  <si>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</si>
  <si>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</si>
  <si>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</si>
  <si>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</si>
  <si>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</si>
  <si>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</si>
  <si>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</si>
  <si>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</si>
  <si>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</si>
  <si>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</si>
  <si>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</si>
  <si>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</si>
  <si>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</si>
  <si>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</si>
  <si>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</si>
  <si>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</si>
  <si>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</si>
  <si>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</si>
  <si>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</si>
  <si>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</si>
  <si>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</si>
  <si>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</si>
  <si>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</si>
  <si>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</si>
  <si>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</si>
  <si>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</si>
  <si>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</si>
  <si>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</si>
  <si>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</si>
  <si>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</si>
  <si>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</si>
  <si>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</si>
  <si>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</si>
  <si>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</si>
  <si>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</si>
  <si>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</si>
  <si>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</si>
  <si>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</si>
  <si>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</si>
  <si>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</si>
  <si>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</si>
  <si>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</si>
  <si>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</si>
  <si>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</si>
  <si>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</si>
  <si>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</si>
  <si>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</si>
  <si>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</si>
  <si>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</si>
  <si>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</si>
  <si>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</si>
  <si>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</si>
  <si>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</si>
  <si>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</si>
  <si>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</si>
  <si>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</si>
  <si>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</si>
  <si>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</si>
  <si>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</si>
  <si>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</si>
  <si>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</si>
  <si>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</si>
  <si>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</si>
  <si>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</si>
  <si>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</si>
  <si>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</si>
  <si>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</si>
  <si>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</si>
  <si>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</si>
  <si>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</si>
  <si>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</si>
  <si>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</si>
  <si>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</si>
  <si>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</si>
  <si>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</si>
  <si>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</si>
  <si>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</si>
  <si>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</si>
  <si>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</si>
  <si>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</si>
  <si>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</si>
  <si>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</si>
  <si>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</si>
  <si>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</si>
  <si>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</si>
  <si>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</si>
  <si>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</si>
  <si>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</si>
  <si>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</si>
  <si>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</si>
  <si>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</si>
  <si>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</si>
  <si>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</si>
  <si>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</si>
  <si>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</si>
  <si>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</si>
  <si>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</si>
  <si>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</si>
  <si>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</si>
  <si>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</si>
  <si>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</si>
  <si>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</si>
  <si>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</si>
  <si>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</si>
  <si>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</si>
  <si>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</si>
  <si>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</si>
  <si>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</si>
  <si>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</si>
  <si>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</si>
  <si>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</si>
  <si>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</si>
  <si>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</si>
  <si>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</si>
  <si>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</si>
  <si>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</si>
  <si>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</si>
  <si>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</si>
  <si>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</si>
  <si>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</si>
  <si>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</si>
  <si>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</si>
  <si>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</si>
  <si>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</si>
  <si>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</si>
  <si>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</si>
  <si>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</si>
  <si>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</si>
  <si>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</si>
  <si>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</si>
  <si>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</si>
  <si>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</si>
  <si>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</si>
  <si>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</si>
  <si>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</si>
  <si>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</si>
  <si>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</si>
  <si>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</si>
  <si>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</si>
  <si>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</si>
  <si>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</si>
  <si>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</si>
  <si>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</si>
  <si>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</si>
  <si>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</si>
  <si>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</si>
  <si>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</si>
  <si>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</si>
  <si>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</si>
  <si>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</si>
  <si>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</si>
  <si>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</si>
  <si>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</si>
  <si>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</si>
  <si>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</si>
  <si>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</si>
  <si>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</si>
  <si>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</si>
  <si>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</si>
  <si>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</si>
  <si>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</si>
  <si>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</si>
  <si>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</si>
  <si>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</si>
  <si>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</si>
  <si>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</si>
  <si>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</si>
  <si>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</si>
  <si>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</si>
  <si>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</si>
  <si>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</si>
  <si>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</si>
  <si>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</si>
  <si>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</si>
  <si>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</si>
  <si>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</si>
  <si>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</si>
  <si>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</si>
  <si>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</si>
  <si>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</si>
  <si>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</si>
  <si>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</si>
  <si>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</si>
  <si>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</si>
  <si>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</si>
  <si>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</si>
  <si>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</si>
  <si>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</si>
  <si>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</si>
  <si>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</si>
  <si>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</si>
  <si>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</si>
  <si>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</si>
  <si>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</si>
  <si>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</si>
  <si>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</si>
  <si>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</si>
  <si>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</si>
  <si>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</si>
  <si>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</si>
  <si>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</si>
  <si>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</si>
  <si>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</si>
  <si>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</si>
  <si>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</si>
  <si>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</si>
  <si>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</si>
  <si>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</si>
  <si>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</si>
  <si>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</si>
  <si>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</si>
  <si>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</si>
  <si>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</si>
  <si>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</si>
  <si>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</si>
  <si>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</si>
  <si>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</si>
  <si>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</si>
  <si>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</si>
  <si>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</si>
  <si>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</si>
  <si>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</si>
  <si>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</si>
  <si>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</si>
  <si>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</si>
  <si>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</si>
  <si>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</si>
  <si>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</si>
  <si>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</si>
  <si>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</si>
  <si>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</si>
  <si>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</si>
  <si>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</si>
  <si>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</si>
  <si>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</si>
  <si>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</si>
  <si>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</si>
  <si>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</si>
  <si>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</si>
  <si>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</si>
  <si>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</si>
  <si>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</si>
  <si>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</si>
  <si>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</si>
  <si>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</si>
  <si>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</si>
  <si>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</si>
  <si>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</si>
  <si>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</si>
  <si>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</si>
  <si>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</si>
  <si>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</si>
  <si>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</si>
  <si>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</si>
  <si>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</si>
  <si>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</si>
  <si>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</si>
  <si>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</si>
  <si>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</si>
  <si>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</si>
  <si>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</si>
  <si>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</si>
  <si>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</si>
  <si>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</si>
  <si>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</si>
  <si>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</si>
  <si>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</si>
  <si>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</si>
  <si>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</si>
  <si>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</si>
  <si>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</si>
  <si>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</si>
  <si>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</si>
  <si>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</si>
  <si>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</si>
  <si>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</si>
  <si>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</si>
  <si>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</si>
  <si>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</si>
  <si>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</si>
  <si>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</si>
  <si>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</si>
  <si>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</si>
  <si>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</si>
  <si>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</si>
  <si>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</si>
  <si>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</si>
  <si>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</si>
  <si>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</si>
  <si>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</si>
  <si>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</si>
  <si>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</si>
  <si>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</si>
  <si>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</si>
  <si>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</si>
  <si>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</si>
  <si>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</si>
  <si>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</si>
  <si>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</si>
  <si>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</si>
  <si>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</si>
  <si>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</si>
  <si>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</si>
  <si>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</si>
  <si>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</si>
  <si>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</si>
  <si>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</si>
  <si>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</si>
  <si>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</si>
  <si>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</si>
  <si>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</si>
  <si>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</si>
  <si>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</si>
  <si>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</si>
  <si>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</si>
  <si>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</si>
  <si>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</si>
  <si>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</si>
  <si>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</si>
  <si>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</si>
  <si>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</si>
  <si>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</si>
  <si>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</si>
  <si>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</si>
  <si>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</si>
  <si>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</si>
  <si>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</si>
  <si>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</si>
  <si>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</si>
  <si>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</si>
  <si>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</si>
  <si>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</si>
  <si>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</si>
  <si>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</si>
  <si>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</si>
  <si>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</si>
  <si>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</si>
  <si>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</si>
  <si>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</si>
  <si>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</si>
  <si>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</si>
  <si>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</si>
  <si>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</si>
  <si>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</si>
  <si>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</si>
  <si>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</si>
  <si>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</si>
  <si>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</si>
  <si>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</si>
  <si>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</si>
  <si>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</si>
  <si>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</si>
  <si>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</si>
  <si>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</si>
  <si>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</si>
  <si>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</si>
  <si>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</si>
  <si>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</si>
  <si>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</si>
  <si>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</si>
  <si>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</si>
  <si>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</si>
  <si>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</si>
  <si>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</si>
  <si>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</si>
  <si>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</si>
  <si>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</si>
  <si>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</si>
  <si>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</si>
  <si>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</si>
  <si>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</si>
  <si>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</si>
  <si>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</si>
  <si>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</si>
  <si>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</si>
  <si>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</si>
  <si>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</si>
  <si>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</si>
  <si>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</si>
  <si>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</si>
  <si>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</si>
  <si>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</si>
  <si>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</si>
  <si>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</si>
  <si>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</si>
  <si>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</si>
  <si>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</si>
  <si>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</si>
  <si>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</si>
  <si>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</si>
  <si>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</si>
  <si>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</si>
  <si>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</si>
  <si>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</si>
  <si>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</si>
  <si>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</si>
  <si>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</si>
  <si>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</si>
  <si>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</si>
  <si>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</si>
  <si>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</si>
  <si>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</si>
  <si>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</si>
  <si>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</si>
  <si>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</si>
  <si>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</si>
  <si>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</si>
  <si>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</si>
  <si>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</si>
  <si>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</si>
  <si>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</si>
  <si>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</si>
  <si>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</si>
  <si>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</si>
  <si>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</si>
  <si>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</si>
  <si>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</si>
  <si>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</si>
  <si>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</si>
  <si>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</si>
  <si>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</si>
  <si>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</si>
  <si>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</si>
  <si>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</si>
  <si>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</si>
  <si>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</si>
  <si>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</si>
  <si>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</si>
  <si>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</si>
  <si>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</si>
  <si>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</si>
  <si>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</si>
  <si>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</si>
  <si>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</si>
  <si>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</si>
  <si>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</si>
  <si>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</si>
  <si>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</si>
  <si>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</si>
  <si>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</si>
  <si>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</si>
  <si>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</si>
  <si>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</si>
  <si>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</si>
  <si>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</si>
  <si>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</si>
  <si>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</si>
  <si>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</si>
  <si>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</si>
  <si>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</si>
  <si>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</si>
  <si>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</si>
  <si>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</si>
  <si>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</si>
  <si>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</si>
  <si>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</si>
  <si>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</si>
  <si>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</si>
  <si>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</si>
  <si>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</si>
  <si>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</si>
  <si>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</si>
  <si>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</si>
  <si>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</si>
  <si>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</si>
  <si>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</si>
  <si>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</si>
  <si>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</si>
  <si>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</si>
  <si>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</si>
  <si>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</si>
  <si>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</si>
  <si>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</si>
  <si>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</si>
  <si>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</si>
  <si>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</si>
  <si>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</si>
  <si>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</si>
  <si>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</si>
  <si>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</si>
  <si>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</si>
  <si>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</si>
  <si>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</si>
  <si>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</si>
  <si>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</si>
  <si>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</si>
  <si>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</si>
  <si>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</si>
  <si>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</si>
  <si>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</si>
  <si>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</si>
  <si>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</si>
  <si>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</si>
  <si>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</si>
  <si>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</si>
  <si>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</si>
  <si>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</si>
  <si>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</si>
  <si>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</si>
  <si>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</si>
  <si>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</si>
  <si>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</si>
  <si>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</si>
  <si>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</si>
  <si>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</si>
  <si>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</si>
  <si>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</si>
  <si>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</si>
  <si>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</si>
  <si>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</si>
  <si>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</si>
  <si>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</si>
  <si>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</si>
  <si>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</si>
  <si>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</si>
  <si>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</si>
  <si>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</si>
  <si>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</si>
  <si>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</si>
  <si>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</si>
  <si>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</si>
  <si>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</si>
  <si>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</si>
  <si>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</si>
  <si>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</si>
  <si>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</si>
  <si>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</si>
  <si>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</si>
  <si>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</si>
  <si>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</si>
  <si>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</si>
  <si>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</si>
  <si>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</si>
  <si>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</si>
  <si>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</si>
  <si>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</si>
  <si>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</si>
  <si>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</si>
  <si>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</si>
  <si>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</si>
  <si>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</si>
  <si>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</si>
  <si>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</si>
  <si>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</si>
  <si>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</si>
  <si>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</si>
  <si>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</si>
  <si>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</si>
  <si>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</si>
  <si>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</si>
  <si>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</si>
  <si>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</si>
  <si>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</si>
  <si>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</si>
  <si>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</si>
  <si>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</si>
  <si>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</si>
  <si>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</si>
  <si>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</si>
  <si>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</si>
  <si>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</si>
  <si>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</si>
  <si>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</si>
  <si>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</si>
  <si>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</si>
  <si>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</si>
  <si>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</si>
  <si>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</si>
  <si>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</si>
  <si>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</si>
  <si>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</si>
  <si>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</si>
  <si>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</si>
  <si>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</si>
  <si>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</si>
  <si>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</si>
  <si>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</si>
  <si>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</si>
  <si>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</si>
  <si>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</si>
  <si>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</si>
  <si>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</si>
  <si>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</si>
  <si>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</si>
  <si>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</si>
  <si>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</si>
  <si>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</si>
  <si>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</si>
  <si>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</si>
  <si>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</si>
  <si>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</si>
  <si>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</si>
  <si>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</si>
  <si>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</si>
  <si>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</si>
  <si>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</si>
  <si>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</si>
  <si>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</si>
  <si>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</si>
  <si>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</si>
  <si>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</si>
  <si>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</si>
  <si>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</si>
  <si>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</si>
  <si>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</si>
  <si>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</si>
  <si>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</si>
  <si>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</si>
  <si>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</si>
  <si>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</si>
  <si>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</si>
  <si>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</si>
  <si>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</si>
  <si>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</si>
  <si>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</si>
  <si>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</si>
  <si>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</si>
  <si>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</si>
  <si>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</si>
  <si>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</si>
  <si>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</si>
  <si>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</si>
  <si>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</si>
  <si>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</si>
  <si>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</si>
  <si>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</si>
  <si>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</si>
  <si>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</si>
  <si>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</si>
  <si>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</si>
  <si>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</si>
  <si>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</si>
  <si>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</si>
  <si>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</si>
  <si>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</si>
  <si>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</si>
  <si>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</si>
  <si>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</si>
  <si>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</si>
  <si>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</si>
  <si>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</si>
  <si>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</si>
  <si>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</si>
  <si>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</si>
  <si>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</si>
  <si>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</si>
  <si>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</si>
  <si>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</si>
  <si>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</si>
  <si>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</si>
  <si>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</si>
  <si>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</si>
  <si>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</si>
  <si>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</si>
  <si>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</si>
  <si>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</si>
  <si>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</si>
  <si>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</si>
  <si>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</si>
  <si>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</si>
  <si>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</si>
  <si>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</si>
  <si>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</si>
  <si>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</si>
  <si>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</si>
  <si>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</si>
  <si>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</si>
  <si>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</si>
  <si>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</si>
  <si>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</si>
  <si>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</si>
  <si>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</si>
  <si>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</si>
  <si>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</si>
  <si>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</si>
  <si>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</si>
  <si>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</si>
  <si>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</si>
  <si>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</si>
  <si>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</si>
  <si>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</si>
  <si>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</si>
  <si>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</si>
  <si>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</si>
  <si>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</si>
  <si>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</si>
  <si>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</si>
  <si>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</si>
  <si>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</si>
  <si>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鹿山街道陆家村</t>
  </si>
  <si>
    <t>杭州市</t>
  </si>
  <si>
    <t>住宅用地</t>
  </si>
  <si>
    <t>＞1≤2.2</t>
  </si>
  <si>
    <t>挂牌</t>
  </si>
  <si>
    <t>2017-09-18</t>
  </si>
  <si>
    <t>杭州旭都投资管理有限公司</t>
  </si>
  <si>
    <t>富春街道三号渠与五号渠交汇处西北侧</t>
  </si>
  <si>
    <t>1＜容≤1.8</t>
  </si>
  <si>
    <t>2017-01-19</t>
  </si>
  <si>
    <t>杭州市城建开发集团有限公司</t>
  </si>
  <si>
    <t>富阳区鹿山新区核心区</t>
  </si>
  <si>
    <t>综合用地(含住宅)</t>
  </si>
  <si>
    <t>1＜容≤2.5</t>
  </si>
  <si>
    <t>拍卖</t>
  </si>
  <si>
    <t>2016-12-15</t>
  </si>
  <si>
    <t>杭州宋都房地产集团有限公司</t>
  </si>
  <si>
    <t>富阳区鹿山街道鹿山新区</t>
  </si>
  <si>
    <t>1.3-2.5</t>
  </si>
  <si>
    <t>2016-11-28</t>
  </si>
  <si>
    <t>浙江公望工程管理有限公司</t>
  </si>
  <si>
    <t>富阳区富春街道客运西站</t>
  </si>
  <si>
    <t>1＜容≤2</t>
  </si>
  <si>
    <t>2016-11-18</t>
  </si>
  <si>
    <t>富春街道环城西路与金苑路交叉口西南侧(富春43号地块)</t>
  </si>
  <si>
    <t>＞1.0且≤2.2</t>
  </si>
  <si>
    <t>2016-10-28</t>
  </si>
  <si>
    <t>浙江中天房地产集团有限公司</t>
  </si>
  <si>
    <t>1＜容积率≤2</t>
  </si>
  <si>
    <t>2016-07-04</t>
  </si>
  <si>
    <t>1＜容积率≤2.2</t>
  </si>
  <si>
    <t>2016-04-11</t>
  </si>
  <si>
    <t>浙江万科南都房地产有限公司</t>
  </si>
  <si>
    <t>1＜容≤2.2</t>
  </si>
  <si>
    <t>2015-12-31</t>
  </si>
  <si>
    <t>浙江嘉汇建设有限公司</t>
  </si>
  <si>
    <t>湖街道郜村村</t>
  </si>
  <si>
    <t>1＜、≤1.2</t>
  </si>
  <si>
    <t>2015-09-29</t>
  </si>
  <si>
    <t>浙江富春山居集团有限公司</t>
  </si>
  <si>
    <t>银湖街道郜村村</t>
  </si>
  <si>
    <t>富春街道迎宾北路</t>
  </si>
  <si>
    <t>1＜、≤3</t>
  </si>
  <si>
    <t>2015-09-10</t>
  </si>
  <si>
    <t>蔡金宪</t>
  </si>
  <si>
    <t>富春街道皇天畈</t>
  </si>
  <si>
    <t>2015-04-13</t>
  </si>
  <si>
    <t>王龙飞</t>
  </si>
  <si>
    <t>场口新区</t>
  </si>
  <si>
    <t>2015-01-23</t>
  </si>
  <si>
    <t>银湖街道观前村(银湖街道小长山地块)</t>
  </si>
  <si>
    <t>1＜容积率≤1.6</t>
  </si>
  <si>
    <t>2015-01-20</t>
  </si>
  <si>
    <t>富阳市城市建设投资集团有限公司</t>
  </si>
  <si>
    <t>富春街道虎山村(富春10号地块)</t>
  </si>
  <si>
    <t>章碧海</t>
  </si>
  <si>
    <t>富春街道文教北路</t>
  </si>
  <si>
    <t>1＜容积率≤3.2</t>
  </si>
  <si>
    <t>2014-10-20</t>
  </si>
  <si>
    <t>浙江诚泰钢铁有限公司、富阳市金茂物资有限公司、许玉加、白志华、胡建华</t>
  </si>
  <si>
    <t>银湖街道高桥村(中策橡胶C地块)</t>
  </si>
  <si>
    <t>大于1</t>
  </si>
  <si>
    <t>2014-08-29</t>
  </si>
  <si>
    <t>银湖街道高桥村(中策橡胶A地块)</t>
  </si>
  <si>
    <t>银湖街道高桥村(富轮、美仑橡胶B地块)</t>
  </si>
  <si>
    <t>银湖街道高桥村(富轮、美仑橡胶A地块)</t>
  </si>
  <si>
    <t>新登镇南津村</t>
  </si>
  <si>
    <t>大于1并且小于或等于2</t>
  </si>
  <si>
    <t>2014-05-30</t>
  </si>
  <si>
    <t>朱伟兴、余利民</t>
  </si>
  <si>
    <t>新登镇塔山村</t>
  </si>
  <si>
    <t>大源镇大源村(大源镇旧城改造地块)</t>
  </si>
  <si>
    <t>大于1并且小于或等于2.9</t>
  </si>
  <si>
    <t>2014-03-06</t>
  </si>
  <si>
    <t>杭州东吴房地产开发有限公司</t>
  </si>
  <si>
    <t>富春街道东山村(富春24号B地块)</t>
  </si>
  <si>
    <t>大于1并且小于或等于1.2</t>
  </si>
  <si>
    <t>2014-01-09</t>
  </si>
  <si>
    <t>卓越资产投资控股有限公司</t>
  </si>
  <si>
    <t>春江街道民主村(江南新城4号地块)</t>
  </si>
  <si>
    <t>大于1并且小于或等于3</t>
  </si>
  <si>
    <t>杭州东吴房地产开发有限公司杭州澳海控股有限公司</t>
  </si>
  <si>
    <t>富春街道东山村(富春24号A地块)</t>
  </si>
  <si>
    <t>卓越资产股资控股有限公司</t>
  </si>
  <si>
    <t>场口镇场口村</t>
  </si>
  <si>
    <t>2013-12-26</t>
  </si>
  <si>
    <t>杭州祥远房地产开发有限公司</t>
  </si>
  <si>
    <r>
      <rPr>
        <sz val="10"/>
        <rFont val="宋体"/>
        <family val="3"/>
        <charset val="134"/>
      </rPr>
      <t>成交地面价</t>
    </r>
    <r>
      <rPr>
        <sz val="11"/>
        <rFont val="宋体"/>
        <family val="3"/>
        <charset val="134"/>
        <scheme val="minor"/>
      </rPr>
      <t>(</t>
    </r>
    <r>
      <rPr>
        <sz val="10"/>
        <rFont val="宋体"/>
        <family val="3"/>
        <charset val="134"/>
      </rPr>
      <t>元</t>
    </r>
    <r>
      <rPr>
        <sz val="11"/>
        <rFont val="宋体"/>
        <family val="3"/>
        <charset val="134"/>
        <scheme val="minor"/>
      </rPr>
      <t>/</t>
    </r>
    <r>
      <rPr>
        <sz val="10"/>
        <rFont val="宋体"/>
        <family val="3"/>
        <charset val="134"/>
      </rPr>
      <t>㎡</t>
    </r>
    <r>
      <rPr>
        <sz val="11"/>
        <rFont val="宋体"/>
        <family val="3"/>
        <charset val="134"/>
        <scheme val="minor"/>
      </rPr>
      <t>)</t>
    </r>
    <phoneticPr fontId="3" type="noConversion"/>
  </si>
  <si>
    <t>正常</t>
  </si>
  <si>
    <t>吴薇</t>
  </si>
  <si>
    <t>刘梅</t>
  </si>
  <si>
    <t>住宅</t>
    <phoneticPr fontId="21" type="noConversion"/>
  </si>
  <si>
    <t>综合用地（含住宅）</t>
  </si>
  <si>
    <t>综合用地（含住宅）</t>
    <phoneticPr fontId="21" type="noConversion"/>
  </si>
  <si>
    <t>60-70（含）</t>
  </si>
  <si>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</si>
  <si>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</si>
  <si>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</si>
  <si>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</si>
  <si>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</si>
  <si>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</si>
  <si>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</si>
  <si>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</si>
  <si>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临时三通</t>
    <phoneticPr fontId="3" type="noConversion"/>
  </si>
  <si>
    <t>良好</t>
  </si>
  <si>
    <t>良好</t>
    <phoneticPr fontId="26" type="noConversion"/>
  </si>
  <si>
    <t>较差</t>
    <phoneticPr fontId="26" type="noConversion"/>
  </si>
  <si>
    <t>快速路</t>
    <phoneticPr fontId="3" type="noConversion"/>
  </si>
  <si>
    <t>主干道</t>
    <phoneticPr fontId="3" type="noConversion"/>
  </si>
  <si>
    <t>次干道</t>
    <phoneticPr fontId="3" type="noConversion"/>
  </si>
  <si>
    <t>支路</t>
    <phoneticPr fontId="3" type="noConversion"/>
  </si>
  <si>
    <t>规划路</t>
    <phoneticPr fontId="3" type="noConversion"/>
  </si>
  <si>
    <t>住宅</t>
    <phoneticPr fontId="3" type="noConversion"/>
  </si>
  <si>
    <t>杭州佳欣置业有限公司</t>
    <phoneticPr fontId="6" type="noConversion"/>
  </si>
  <si>
    <t>浙金信托</t>
    <phoneticPr fontId="6" type="noConversion"/>
  </si>
  <si>
    <t>抵押</t>
  </si>
  <si>
    <t>抵押价格</t>
  </si>
  <si>
    <t>其他：</t>
  </si>
  <si>
    <t>企业</t>
  </si>
  <si>
    <t>浙江省杭州市富阳区银湖街道大山脚村</t>
    <phoneticPr fontId="6" type="noConversion"/>
  </si>
  <si>
    <t>一致</t>
  </si>
  <si>
    <t>出让</t>
  </si>
  <si>
    <t>否</t>
  </si>
  <si>
    <t>居住项目</t>
  </si>
  <si>
    <t>无</t>
  </si>
  <si>
    <t>场地平整</t>
  </si>
  <si>
    <t>平整</t>
  </si>
  <si>
    <t>通路</t>
  </si>
  <si>
    <t>通电</t>
  </si>
  <si>
    <t>通讯</t>
  </si>
  <si>
    <t>通上水</t>
  </si>
  <si>
    <t>通下水</t>
  </si>
  <si>
    <t>通热</t>
  </si>
  <si>
    <t>地上</t>
  </si>
  <si>
    <t>住宅</t>
    <phoneticPr fontId="7" type="noConversion"/>
  </si>
  <si>
    <t>项目全部</t>
  </si>
  <si>
    <t>土地</t>
  </si>
  <si>
    <t>比较法-住宅、综合</t>
  </si>
  <si>
    <t>剩余法-待开发</t>
  </si>
  <si>
    <t>单位面积地价</t>
  </si>
  <si>
    <t>较好</t>
  </si>
  <si>
    <t>一般</t>
  </si>
  <si>
    <t>六通</t>
  </si>
  <si>
    <t>较规则</t>
  </si>
  <si>
    <t>三通</t>
  </si>
  <si>
    <t>主干道</t>
  </si>
  <si>
    <t>金桥北路</t>
    <phoneticPr fontId="26" type="noConversion"/>
  </si>
  <si>
    <t>公望街</t>
    <phoneticPr fontId="26" type="noConversion"/>
  </si>
  <si>
    <t>单面临街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</si>
  <si>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</si>
  <si>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</si>
  <si>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40-50（含）</t>
  </si>
  <si>
    <t>鸣翠蓝湾</t>
    <phoneticPr fontId="21" type="noConversion"/>
  </si>
  <si>
    <t>九龙山庄</t>
    <phoneticPr fontId="21" type="noConversion"/>
  </si>
  <si>
    <t>估价对象周边居住用地比例一般、居住小区有九龙山庄、颐景山庄、鸣翠蓝湾等，综合评价居住社区成熟度一般</t>
    <phoneticPr fontId="3" type="noConversion"/>
  </si>
  <si>
    <t>估价对象临沪瑞线，周边道路通达状况一般、附近公共交通较少，停车较便捷，综合评价交通便捷度一般</t>
    <phoneticPr fontId="3" type="noConversion"/>
  </si>
  <si>
    <t>估价对象所在区域公共配套设施齐备情况一般</t>
    <phoneticPr fontId="3" type="noConversion"/>
  </si>
  <si>
    <t>估价对象所在区域基础设施水平六通</t>
    <phoneticPr fontId="3" type="noConversion"/>
  </si>
  <si>
    <t>区域自然环境好；人文环境一般；综合评价环境状况较好</t>
    <phoneticPr fontId="3" type="noConversion"/>
  </si>
  <si>
    <t>较一致</t>
    <phoneticPr fontId="21" type="noConversion"/>
  </si>
  <si>
    <t>高速路——沪瑞线</t>
    <phoneticPr fontId="21" type="noConversion"/>
  </si>
  <si>
    <t>普通住宅</t>
    <phoneticPr fontId="21" type="noConversion"/>
  </si>
  <si>
    <t>别墅</t>
  </si>
  <si>
    <t>别墅</t>
    <phoneticPr fontId="21" type="noConversion"/>
  </si>
  <si>
    <t>50-60（含）</t>
  </si>
  <si>
    <t>钢混</t>
  </si>
  <si>
    <t>钢混</t>
    <phoneticPr fontId="21" type="noConversion"/>
  </si>
  <si>
    <t>高档</t>
    <phoneticPr fontId="21" type="noConversion"/>
  </si>
  <si>
    <t>普通</t>
  </si>
  <si>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</si>
  <si>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</si>
  <si>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</si>
  <si>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</si>
  <si>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</si>
  <si>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</si>
  <si>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</si>
  <si>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</si>
  <si>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</si>
  <si>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颐景山庄</t>
    <phoneticPr fontId="21" type="noConversion"/>
  </si>
  <si>
    <t>普装</t>
  </si>
  <si>
    <t>富春街道公园西路</t>
    <phoneticPr fontId="233" type="noConversion"/>
  </si>
  <si>
    <t>富春街道文居街(原育才西路)</t>
    <phoneticPr fontId="233" type="noConversion"/>
  </si>
  <si>
    <t>富春街道公望街</t>
    <phoneticPr fontId="233" type="noConversion"/>
  </si>
  <si>
    <t>综合用地（含住宅）</t>
    <phoneticPr fontId="26" type="noConversion"/>
  </si>
  <si>
    <t>302国道</t>
    <phoneticPr fontId="26" type="noConversion"/>
  </si>
  <si>
    <t>较不规则</t>
  </si>
  <si>
    <t>《不动产权证书》[浙（2017）富阳区不动产权第0028434号]</t>
    <phoneticPr fontId="3" type="noConversion"/>
  </si>
  <si>
    <t>已部分缴纳</t>
  </si>
  <si>
    <t>请录依据文件名称：《转发市财政局等部门关于富阳市城市基础设施配套费征收管理办法的通知》（富政办〔2012〕23号）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</si>
</sst>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6" fillId="0" borderId="0" xfId="0" applyFont="1" applyFill="1" applyAlignment="1"/>
    <xf numFmtId="0" fontId="278" fillId="0" borderId="0" xfId="0" applyFont="1" applyFill="1" applyAlignment="1"/>
    <xf numFmtId="0" fontId="278"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0" fontId="85" fillId="9" borderId="5" xfId="0" applyFont="1" applyFill="1" applyBorder="1" applyAlignment="1" applyProtection="1">
      <alignment vertical="center"/>
      <protection locked="0"/>
    </xf>
    <xf numFmtId="0" fontId="81" fillId="2"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79"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4</xdr:col>
      <xdr:colOff>94515</xdr:colOff>
      <xdr:row>38</xdr:row>
      <xdr:rowOff>95120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91175"/>
          <a:ext cx="5885715" cy="1038095"/>
        </a:xfrm>
        <a:prstGeom prst="rect">
          <a:avLst/>
        </a:prstGeom>
      </xdr:spPr>
    </xdr:pic>
    <xdr:clientData/>
  </xdr:twoCellAnchor>
  <xdr:twoCellAnchor editAs="oneCell">
    <xdr:from>
      <xdr:col>0</xdr:col>
      <xdr:colOff>0</xdr:colOff>
      <xdr:row>39</xdr:row>
      <xdr:rowOff>0</xdr:rowOff>
    </xdr:from>
    <xdr:to>
      <xdr:col>3</xdr:col>
      <xdr:colOff>466109</xdr:colOff>
      <xdr:row>66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05600"/>
          <a:ext cx="5200034" cy="4695825"/>
        </a:xfrm>
        <a:prstGeom prst="rect">
          <a:avLst/>
        </a:prstGeom>
      </xdr:spPr>
    </xdr:pic>
    <xdr:clientData/>
  </xdr:twoCellAnchor>
  <xdr:twoCellAnchor editAs="oneCell">
    <xdr:from>
      <xdr:col>0</xdr:col>
      <xdr:colOff>1</xdr:colOff>
      <xdr:row>67</xdr:row>
      <xdr:rowOff>0</xdr:rowOff>
    </xdr:from>
    <xdr:to>
      <xdr:col>3</xdr:col>
      <xdr:colOff>333376</xdr:colOff>
      <xdr:row>80</xdr:row>
      <xdr:rowOff>148650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1506200"/>
          <a:ext cx="5067300" cy="2377500"/>
        </a:xfrm>
        <a:prstGeom prst="rect">
          <a:avLst/>
        </a:prstGeom>
      </xdr:spPr>
    </xdr:pic>
    <xdr:clientData/>
  </xdr:twoCellAnchor>
  <xdr:twoCellAnchor editAs="oneCell">
    <xdr:from>
      <xdr:col>3</xdr:col>
      <xdr:colOff>609600</xdr:colOff>
      <xdr:row>40</xdr:row>
      <xdr:rowOff>133351</xdr:rowOff>
    </xdr:from>
    <xdr:to>
      <xdr:col>8</xdr:col>
      <xdr:colOff>703867</xdr:colOff>
      <xdr:row>65</xdr:row>
      <xdr:rowOff>151817</xdr:rowOff>
    </xdr:to>
    <xdr:pic>
      <xdr:nvPicPr>
        <xdr:cNvPr id="5" name="图片 4"/>
        <xdr:cNvPicPr>
          <a:picLocks noChangeAspect="1"/>
        </xdr:cNvPicPr>
      </xdr:nvPicPr>
      <xdr:blipFill>
        <a:blip xmlns:r="http://schemas.openxmlformats.org/officeDocument/2006/relationships" r:embed="rId4"/>
        <a:stretch>
          <a:fillRect/>
        </a:stretch>
      </xdr:blipFill>
      <xdr:spPr>
        <a:xfrm>
          <a:off x="5343525" y="7010401"/>
          <a:ext cx="4666267" cy="4304716"/>
        </a:xfrm>
        <a:prstGeom prst="rect">
          <a:avLst/>
        </a:prstGeom>
      </xdr:spPr>
    </xdr:pic>
    <xdr:clientData/>
  </xdr:twoCellAnchor>
  <xdr:twoCellAnchor editAs="oneCell">
    <xdr:from>
      <xdr:col>3</xdr:col>
      <xdr:colOff>609600</xdr:colOff>
      <xdr:row>66</xdr:row>
      <xdr:rowOff>95251</xdr:rowOff>
    </xdr:from>
    <xdr:to>
      <xdr:col>8</xdr:col>
      <xdr:colOff>685800</xdr:colOff>
      <xdr:row>79</xdr:row>
      <xdr:rowOff>143391</xdr:rowOff>
    </xdr:to>
    <xdr:pic>
      <xdr:nvPicPr>
        <xdr:cNvPr id="6" name="图片 5"/>
        <xdr:cNvPicPr>
          <a:picLocks noChangeAspect="1"/>
        </xdr:cNvPicPr>
      </xdr:nvPicPr>
      <xdr:blipFill>
        <a:blip xmlns:r="http://schemas.openxmlformats.org/officeDocument/2006/relationships" r:embed="rId5"/>
        <a:stretch>
          <a:fillRect/>
        </a:stretch>
      </xdr:blipFill>
      <xdr:spPr>
        <a:xfrm>
          <a:off x="5343525" y="11430001"/>
          <a:ext cx="4648200" cy="2276990"/>
        </a:xfrm>
        <a:prstGeom prst="rect">
          <a:avLst/>
        </a:prstGeom>
      </xdr:spPr>
    </xdr:pic>
    <xdr:clientData/>
  </xdr:twoCellAnchor>
  <xdr:twoCellAnchor editAs="oneCell">
    <xdr:from>
      <xdr:col>9</xdr:col>
      <xdr:colOff>209550</xdr:colOff>
      <xdr:row>39</xdr:row>
      <xdr:rowOff>104775</xdr:rowOff>
    </xdr:from>
    <xdr:to>
      <xdr:col>13</xdr:col>
      <xdr:colOff>1475418</xdr:colOff>
      <xdr:row>65</xdr:row>
      <xdr:rowOff>159522</xdr:rowOff>
    </xdr:to>
    <xdr:pic>
      <xdr:nvPicPr>
        <xdr:cNvPr id="7" name="图片 6"/>
        <xdr:cNvPicPr>
          <a:picLocks noChangeAspect="1"/>
        </xdr:cNvPicPr>
      </xdr:nvPicPr>
      <xdr:blipFill>
        <a:blip xmlns:r="http://schemas.openxmlformats.org/officeDocument/2006/relationships" r:embed="rId6"/>
        <a:stretch>
          <a:fillRect/>
        </a:stretch>
      </xdr:blipFill>
      <xdr:spPr>
        <a:xfrm>
          <a:off x="10325100" y="6810375"/>
          <a:ext cx="4742493" cy="4512447"/>
        </a:xfrm>
        <a:prstGeom prst="rect">
          <a:avLst/>
        </a:prstGeom>
      </xdr:spPr>
    </xdr:pic>
    <xdr:clientData/>
  </xdr:twoCellAnchor>
  <xdr:twoCellAnchor editAs="oneCell">
    <xdr:from>
      <xdr:col>9</xdr:col>
      <xdr:colOff>295972</xdr:colOff>
      <xdr:row>65</xdr:row>
      <xdr:rowOff>123826</xdr:rowOff>
    </xdr:from>
    <xdr:to>
      <xdr:col>13</xdr:col>
      <xdr:colOff>1627587</xdr:colOff>
      <xdr:row>80</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10411522" y="11287126"/>
          <a:ext cx="4808240" cy="2486024"/>
        </a:xfrm>
        <a:prstGeom prst="rect">
          <a:avLst/>
        </a:prstGeom>
      </xdr:spPr>
    </xdr:pic>
    <xdr:clientData/>
  </xdr:twoCellAnchor>
  <xdr:twoCellAnchor editAs="oneCell">
    <xdr:from>
      <xdr:col>0</xdr:col>
      <xdr:colOff>0</xdr:colOff>
      <xdr:row>81</xdr:row>
      <xdr:rowOff>1</xdr:rowOff>
    </xdr:from>
    <xdr:to>
      <xdr:col>3</xdr:col>
      <xdr:colOff>657225</xdr:colOff>
      <xdr:row>104</xdr:row>
      <xdr:rowOff>4123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906501"/>
          <a:ext cx="5391150" cy="3947472"/>
        </a:xfrm>
        <a:prstGeom prst="rect">
          <a:avLst/>
        </a:prstGeom>
      </xdr:spPr>
    </xdr:pic>
    <xdr:clientData/>
  </xdr:twoCellAnchor>
  <xdr:twoCellAnchor editAs="oneCell">
    <xdr:from>
      <xdr:col>3</xdr:col>
      <xdr:colOff>714375</xdr:colOff>
      <xdr:row>80</xdr:row>
      <xdr:rowOff>128931</xdr:rowOff>
    </xdr:from>
    <xdr:to>
      <xdr:col>9</xdr:col>
      <xdr:colOff>304800</xdr:colOff>
      <xdr:row>104</xdr:row>
      <xdr:rowOff>68646</xdr:rowOff>
    </xdr:to>
    <xdr:pic>
      <xdr:nvPicPr>
        <xdr:cNvPr id="10" name="图片 9"/>
        <xdr:cNvPicPr>
          <a:picLocks noChangeAspect="1"/>
        </xdr:cNvPicPr>
      </xdr:nvPicPr>
      <xdr:blipFill>
        <a:blip xmlns:r="http://schemas.openxmlformats.org/officeDocument/2006/relationships" r:embed="rId9"/>
        <a:stretch>
          <a:fillRect/>
        </a:stretch>
      </xdr:blipFill>
      <xdr:spPr>
        <a:xfrm>
          <a:off x="5448300" y="13863981"/>
          <a:ext cx="4972050" cy="4054515"/>
        </a:xfrm>
        <a:prstGeom prst="rect">
          <a:avLst/>
        </a:prstGeom>
      </xdr:spPr>
    </xdr:pic>
    <xdr:clientData/>
  </xdr:twoCellAnchor>
  <xdr:twoCellAnchor editAs="oneCell">
    <xdr:from>
      <xdr:col>0</xdr:col>
      <xdr:colOff>0</xdr:colOff>
      <xdr:row>105</xdr:row>
      <xdr:rowOff>0</xdr:rowOff>
    </xdr:from>
    <xdr:to>
      <xdr:col>4</xdr:col>
      <xdr:colOff>296969</xdr:colOff>
      <xdr:row>124</xdr:row>
      <xdr:rowOff>9525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021300"/>
          <a:ext cx="6088169" cy="3267075"/>
        </a:xfrm>
        <a:prstGeom prst="rect">
          <a:avLst/>
        </a:prstGeom>
      </xdr:spPr>
    </xdr:pic>
    <xdr:clientData/>
  </xdr:twoCellAnchor>
  <xdr:twoCellAnchor editAs="oneCell">
    <xdr:from>
      <xdr:col>0</xdr:col>
      <xdr:colOff>1</xdr:colOff>
      <xdr:row>125</xdr:row>
      <xdr:rowOff>0</xdr:rowOff>
    </xdr:from>
    <xdr:to>
      <xdr:col>4</xdr:col>
      <xdr:colOff>200025</xdr:colOff>
      <xdr:row>143</xdr:row>
      <xdr:rowOff>162093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 y="21450300"/>
          <a:ext cx="5991224" cy="3248193"/>
        </a:xfrm>
        <a:prstGeom prst="rect">
          <a:avLst/>
        </a:prstGeom>
      </xdr:spPr>
    </xdr:pic>
    <xdr:clientData/>
  </xdr:twoCellAnchor>
  <xdr:twoCellAnchor editAs="oneCell">
    <xdr:from>
      <xdr:col>0</xdr:col>
      <xdr:colOff>0</xdr:colOff>
      <xdr:row>144</xdr:row>
      <xdr:rowOff>1</xdr:rowOff>
    </xdr:from>
    <xdr:to>
      <xdr:col>4</xdr:col>
      <xdr:colOff>257175</xdr:colOff>
      <xdr:row>160</xdr:row>
      <xdr:rowOff>4181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4707851"/>
          <a:ext cx="6048375" cy="2747380"/>
        </a:xfrm>
        <a:prstGeom prst="rect">
          <a:avLst/>
        </a:prstGeom>
      </xdr:spPr>
    </xdr:pic>
    <xdr:clientData/>
  </xdr:twoCellAnchor>
  <xdr:twoCellAnchor editAs="oneCell">
    <xdr:from>
      <xdr:col>4</xdr:col>
      <xdr:colOff>6031</xdr:colOff>
      <xdr:row>104</xdr:row>
      <xdr:rowOff>85725</xdr:rowOff>
    </xdr:from>
    <xdr:to>
      <xdr:col>9</xdr:col>
      <xdr:colOff>703992</xdr:colOff>
      <xdr:row>124</xdr:row>
      <xdr:rowOff>104775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797231" y="17935575"/>
          <a:ext cx="5022311" cy="3448050"/>
        </a:xfrm>
        <a:prstGeom prst="rect">
          <a:avLst/>
        </a:prstGeom>
      </xdr:spPr>
    </xdr:pic>
    <xdr:clientData/>
  </xdr:twoCellAnchor>
  <xdr:twoCellAnchor editAs="oneCell">
    <xdr:from>
      <xdr:col>3</xdr:col>
      <xdr:colOff>966927</xdr:colOff>
      <xdr:row>124</xdr:row>
      <xdr:rowOff>133350</xdr:rowOff>
    </xdr:from>
    <xdr:to>
      <xdr:col>9</xdr:col>
      <xdr:colOff>714375</xdr:colOff>
      <xdr:row>149</xdr:row>
      <xdr:rowOff>103882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700852" y="21412200"/>
          <a:ext cx="5129073" cy="425678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2662</v>
      </c>
      <c r="B1" s="2919" t="s">
        <v>2759</v>
      </c>
    </row>
    <row r="2" spans="1:55" s="2923" customFormat="1" ht="15" thickTop="1">
      <c r="A2" s="2921" t="s">
        <v>2666</v>
      </c>
      <c r="B2" s="2922" t="str">
        <f>'预评函-封皮'!B37</f>
        <v>浙江省杭州市富阳区银湖街道大山脚村出让国有建设用地使用权抵押价格预评估</v>
      </c>
      <c r="AX2" s="2924"/>
      <c r="AZ2" s="2924"/>
      <c r="BA2" s="2925"/>
      <c r="BC2" s="2925"/>
    </row>
    <row r="3" spans="1:55" s="2926" customFormat="1">
      <c r="A3" s="2905" t="s">
        <v>2667</v>
      </c>
      <c r="B3" s="2908" t="str">
        <f>'预评函-封皮'!B40</f>
        <v>杭州佳欣置业有限公司</v>
      </c>
    </row>
    <row r="4" spans="1:55" s="2907" customFormat="1">
      <c r="A4" s="2905" t="s">
        <v>2668</v>
      </c>
      <c r="B4" s="2906" t="str">
        <f>'预评函-封皮'!B46</f>
        <v>刘梅、吴薇</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2669</v>
      </c>
      <c r="B5" s="2928" t="str">
        <f>'预评函-封皮'!B49</f>
        <v>康正预评字号</v>
      </c>
    </row>
    <row r="6" spans="1:55" s="2929" customFormat="1" ht="15" thickTop="1">
      <c r="A6" s="2921" t="s">
        <v>2711</v>
      </c>
      <c r="B6" s="2922" t="str">
        <f>'预评函-1'!A4</f>
        <v>受贵公司委托，我公司对浙江省杭州市富阳区银湖街道大山脚村出让国有建设用地使用权抵押价格进行了预评估。</v>
      </c>
      <c r="AM6" s="2930"/>
    </row>
    <row r="7" spans="1:55" s="2904" customFormat="1">
      <c r="A7" s="2905" t="s">
        <v>2663</v>
      </c>
      <c r="B7" s="2906" t="str">
        <f>'预评函-1'!A6</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8" spans="1:55" s="2904" customFormat="1">
      <c r="A8" s="2905" t="s">
        <v>2664</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2714</v>
      </c>
      <c r="B9" s="2906"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2665</v>
      </c>
      <c r="B10" s="2906" t="str">
        <f>'预评函-1'!A11</f>
        <v>2017年12月5日（评估专业人员勘察现场之日）</v>
      </c>
    </row>
    <row r="11" spans="1:55" s="2904" customFormat="1">
      <c r="A11" s="2905" t="s">
        <v>2671</v>
      </c>
      <c r="B11" s="2906" t="str">
        <f>'预评函-1'!A14</f>
        <v>根据《国有土地使用证》[]，本次评估估价对象证载（地类）用途为。</v>
      </c>
    </row>
    <row r="12" spans="1:55" s="2904" customFormat="1">
      <c r="A12" s="2905" t="s">
        <v>2672</v>
      </c>
      <c r="B12" s="2906" t="str">
        <f>'预评函-1'!A15</f>
        <v>本次评估设定用途即为证载用途。</v>
      </c>
    </row>
    <row r="13" spans="1:55" s="2904" customFormat="1">
      <c r="A13" s="2905" t="s">
        <v>2673</v>
      </c>
      <c r="B13" s="2906" t="str">
        <f>'预评函-1'!A17</f>
        <v>根据委托估价方介绍及评估专业人员现场勘查，本次评估估价对象实际土地开发程度为红线外市政基础设施达“七通”（即通路、通电、通讯、通上水、通下水、通热、）、宗地红线内场地平整。</v>
      </c>
    </row>
    <row r="14" spans="1:55" s="2904" customFormat="1">
      <c r="A14" s="2905" t="s">
        <v>2674</v>
      </c>
      <c r="B14" s="2906" t="str">
        <f>'预评函-1'!A18</f>
        <v>本次评估设定土地开发程度为红线外市政基础设施达“七通”、宗地红线内场地平整。</v>
      </c>
    </row>
    <row r="15" spans="1:55" s="2904" customFormat="1">
      <c r="A15" s="2905" t="s">
        <v>2670</v>
      </c>
      <c r="B15" s="2906" t="str">
        <f>'预评函-1'!A20</f>
        <v>根据《不动产权证书》[浙（2017）富阳区不动产权第0028434号]，估价对象（分摊）出让国有建设用地使用权面积为10667平方米。根据《建设工程规划许可证》[]、《出让合同》[]，估价对象规划建筑面积为8000.25平方米。</v>
      </c>
    </row>
    <row r="16" spans="1:55" s="2904" customFormat="1">
      <c r="A16" s="2905" t="s">
        <v>2675</v>
      </c>
      <c r="B16" s="2906" t="str">
        <f>'预评函-1'!A22</f>
        <v>本次估价对象为出让国有建设用地使用权，《国有土地使用证》[]证载土地终止日期为住宅2062年11月18日。截至估价期日，出让国有建设用地使用权剩余土地使用年限为。</v>
      </c>
    </row>
    <row r="17" spans="1:48" s="2904" customFormat="1">
      <c r="A17" s="2905" t="s">
        <v>2676</v>
      </c>
      <c r="B17" s="2906" t="str">
        <f>'预评函-1'!A23</f>
        <v>本次评估设定估价对象剩余土地使用年限为。</v>
      </c>
    </row>
    <row r="18" spans="1:48" s="2904" customFormat="1">
      <c r="A18" s="2905" t="s">
        <v>2677</v>
      </c>
      <c r="B18" s="2906"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19" spans="1:48" s="2904" customFormat="1">
      <c r="A19" s="2905" t="s">
        <v>2678</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2679</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2680</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2681</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2682</v>
      </c>
      <c r="B23" s="2906" t="str">
        <f>'预评函-2'!K2</f>
        <v>估价期日：2017年12月5日</v>
      </c>
    </row>
    <row r="24" spans="1:48">
      <c r="A24" s="2905" t="s">
        <v>2683</v>
      </c>
      <c r="B24" s="2906" t="str">
        <f>'预评函-2'!R2</f>
        <v>估价期日的国有建设用地使用权性质：出让</v>
      </c>
    </row>
    <row r="25" spans="1:48">
      <c r="A25" s="2905" t="s">
        <v>2739</v>
      </c>
      <c r="B25" s="2906" t="str">
        <f>'预评函-2'!A3</f>
        <v>估价期日土地使用者</v>
      </c>
    </row>
    <row r="26" spans="1:48">
      <c r="A26" s="2905" t="s">
        <v>2715</v>
      </c>
      <c r="B26" s="2906" t="str">
        <f>'预评函-2'!A5</f>
        <v>中信开发</v>
      </c>
    </row>
    <row r="27" spans="1:48">
      <c r="A27" s="2905" t="s">
        <v>2740</v>
      </c>
      <c r="B27" s="2906" t="str">
        <f>'预评函-2'!B3</f>
        <v>宗地编号/不动产单元号</v>
      </c>
    </row>
    <row r="28" spans="1:48">
      <c r="A28" s="2905" t="s">
        <v>2716</v>
      </c>
      <c r="B28" s="2906" t="str">
        <f>'预评函-2'!B5</f>
        <v>11111111111</v>
      </c>
    </row>
    <row r="29" spans="1:48">
      <c r="A29" s="2905" t="s">
        <v>2742</v>
      </c>
      <c r="B29" s="2906">
        <f>'预评函-2'!C5</f>
        <v>22</v>
      </c>
    </row>
    <row r="30" spans="1:48">
      <c r="A30" s="2905" t="s">
        <v>2743</v>
      </c>
      <c r="B30" s="2906" t="str">
        <f>'预评函-2'!D3</f>
        <v>土地使用证编号/不动产权证书编号</v>
      </c>
    </row>
    <row r="31" spans="1:48">
      <c r="A31" s="2905" t="s">
        <v>2717</v>
      </c>
      <c r="B31" s="2906" t="str">
        <f>'预评函-2'!D5</f>
        <v>京国土字第111号</v>
      </c>
    </row>
    <row r="32" spans="1:48">
      <c r="A32" s="2905" t="s">
        <v>2718</v>
      </c>
      <c r="B32" s="2906">
        <f>'预评函-2'!E5</f>
        <v>0</v>
      </c>
      <c r="AV32" s="2910"/>
    </row>
    <row r="33" spans="1:2">
      <c r="A33" s="2905" t="s">
        <v>2719</v>
      </c>
      <c r="B33" s="2906">
        <f>'预评函-2'!F5</f>
        <v>258</v>
      </c>
    </row>
    <row r="34" spans="1:2">
      <c r="A34" s="2905" t="s">
        <v>2720</v>
      </c>
      <c r="B34" s="2906">
        <f>'预评函-2'!G5</f>
        <v>0</v>
      </c>
    </row>
    <row r="35" spans="1:2">
      <c r="A35" s="2905" t="s">
        <v>2721</v>
      </c>
      <c r="B35" s="2906">
        <f>'预评函-2'!H5</f>
        <v>1.5</v>
      </c>
    </row>
    <row r="36" spans="1:2">
      <c r="A36" s="2905" t="s">
        <v>2722</v>
      </c>
      <c r="B36" s="2906">
        <f>'预评函-2'!I5</f>
        <v>1.5</v>
      </c>
    </row>
    <row r="37" spans="1:2">
      <c r="A37" s="2905" t="s">
        <v>2723</v>
      </c>
      <c r="B37" s="2906">
        <f>'预评函-2'!J5</f>
        <v>1.5</v>
      </c>
    </row>
    <row r="38" spans="1:2">
      <c r="A38" s="2905" t="s">
        <v>2724</v>
      </c>
      <c r="B38" s="2906" t="str">
        <f>'预评函-2'!K5</f>
        <v>红线外七通、宗地红线内场地平整</v>
      </c>
    </row>
    <row r="39" spans="1:2">
      <c r="A39" s="2905" t="s">
        <v>2725</v>
      </c>
      <c r="B39" s="2906" t="str">
        <f>'预评函-2'!L5</f>
        <v>红线外七通、宗地红线内场地平整</v>
      </c>
    </row>
    <row r="40" spans="1:2">
      <c r="A40" s="2905" t="s">
        <v>2744</v>
      </c>
      <c r="B40" s="2906" t="str">
        <f>'预评函-2'!M3</f>
        <v>（剩余）土地使用年限/年</v>
      </c>
    </row>
    <row r="41" spans="1:2">
      <c r="A41" s="2905" t="s">
        <v>2726</v>
      </c>
      <c r="B41" s="2906">
        <f>'预评函-2'!M5</f>
        <v>0</v>
      </c>
    </row>
    <row r="42" spans="1:2">
      <c r="A42" s="2905" t="s">
        <v>2745</v>
      </c>
      <c r="B42" s="2906" t="str">
        <f>'预评函-2'!N3</f>
        <v>（分摊）出让国有建设用地使用权面积/㎡</v>
      </c>
    </row>
    <row r="43" spans="1:2">
      <c r="A43" s="2905" t="s">
        <v>2727</v>
      </c>
      <c r="B43" s="2906">
        <f>'预评函-2'!N5</f>
        <v>10667</v>
      </c>
    </row>
    <row r="44" spans="1:2">
      <c r="A44" s="2905" t="s">
        <v>2746</v>
      </c>
      <c r="B44" s="2906" t="str">
        <f>'预评函-2'!O3</f>
        <v>规划建筑面积/㎡</v>
      </c>
    </row>
    <row r="45" spans="1:2">
      <c r="A45" s="2905" t="s">
        <v>2728</v>
      </c>
      <c r="B45" s="2906">
        <f>'预评函-2'!O5</f>
        <v>8000.25</v>
      </c>
    </row>
    <row r="46" spans="1:2">
      <c r="A46" s="2905" t="s">
        <v>2729</v>
      </c>
      <c r="B46" s="2906">
        <f ca="1">'预评函-2'!P5</f>
        <v>7057</v>
      </c>
    </row>
    <row r="47" spans="1:2">
      <c r="A47" s="2905" t="s">
        <v>2730</v>
      </c>
      <c r="B47" s="2906">
        <f ca="1">'预评函-2'!Q5</f>
        <v>9410</v>
      </c>
    </row>
    <row r="48" spans="1:2">
      <c r="A48" s="2905" t="s">
        <v>2731</v>
      </c>
      <c r="B48" s="2906">
        <f ca="1">'预评函-2'!R5</f>
        <v>7528</v>
      </c>
    </row>
    <row r="49" spans="1:2">
      <c r="A49" s="2905" t="s">
        <v>2747</v>
      </c>
      <c r="B49" s="2906" t="str">
        <f>'预评函-2'!A6</f>
        <v>抵押价格</v>
      </c>
    </row>
    <row r="50" spans="1:2">
      <c r="A50" s="2905" t="s">
        <v>2732</v>
      </c>
      <c r="B50" s="2906">
        <f ca="1">'预评函-2'!R6</f>
        <v>7528</v>
      </c>
    </row>
    <row r="51" spans="1:2">
      <c r="A51" s="2905" t="s">
        <v>2748</v>
      </c>
      <c r="B51" s="2906" t="str">
        <f>'预评函-2'!A7</f>
        <v>——</v>
      </c>
    </row>
    <row r="52" spans="1:2">
      <c r="A52" s="2905" t="s">
        <v>2733</v>
      </c>
      <c r="B52" s="2906" t="str">
        <f>'预评函-2'!R7</f>
        <v>——</v>
      </c>
    </row>
    <row r="53" spans="1:2">
      <c r="A53" s="2905" t="s">
        <v>2749</v>
      </c>
      <c r="B53" s="2906">
        <f>'预评函-2'!A8</f>
        <v>0</v>
      </c>
    </row>
    <row r="54" spans="1:2" s="2920" customFormat="1" ht="15" thickBot="1">
      <c r="A54" s="2927" t="s">
        <v>2734</v>
      </c>
      <c r="B54" s="2928" t="str">
        <f>'预评函-2'!R8</f>
        <v>——</v>
      </c>
    </row>
    <row r="55" spans="1:2" ht="15" thickTop="1">
      <c r="A55" s="2916" t="s">
        <v>2684</v>
      </c>
      <c r="B55" s="2917" t="str">
        <f>'预评函-3'!A2</f>
        <v>1.权利限制：根据估价对象《不动产权证书》——、《国有土地使用权》复印件，截至估价期日，估价对象抵押权未见登记。未设定租赁等其他他项权利。</v>
      </c>
    </row>
    <row r="56" spans="1:2">
      <c r="A56" s="2905" t="s">
        <v>2685</v>
      </c>
      <c r="B56" s="2906" t="str">
        <f>'预评函-3'!A3</f>
        <v>2.基础设施条件：估价对象实际开发程度为红线外七通、宗地红线内场地平整；本次评估设定开发程度为红线外七通、宗地红线内场地平整。</v>
      </c>
    </row>
    <row r="57" spans="1:2">
      <c r="A57" s="2905" t="s">
        <v>2686</v>
      </c>
      <c r="B57" s="2906" t="str">
        <f>'预评函-3'!A4</f>
        <v>3.估价规划限制条件：详见《建设工程规划许可证》[]、《出让合同》[]。</v>
      </c>
    </row>
    <row r="58" spans="1:2" s="2920" customFormat="1" ht="15" thickBot="1">
      <c r="A58" s="2927" t="s">
        <v>2735</v>
      </c>
      <c r="B58" s="2928" t="str">
        <f>'预评函-3'!A5</f>
        <v>4.影响价格的其他限定条件：无。</v>
      </c>
    </row>
    <row r="59" spans="1:2" ht="15" thickTop="1">
      <c r="A59" s="2916" t="s">
        <v>2687</v>
      </c>
      <c r="B59" s="2917" t="str">
        <f>'预评函-3'!A8</f>
        <v>2.本《评估意见函》仅供金融机构进行内部审核使用，不做其他目的之用。</v>
      </c>
    </row>
    <row r="60" spans="1:2">
      <c r="A60" s="2905" t="s">
        <v>2688</v>
      </c>
      <c r="B60" s="2906" t="str">
        <f>'预评函-3'!A9</f>
        <v>3.抵押双方在办理抵押登记手续时，应使用本公司出具的正式《土地估价报告》，特提请报告使用者注意。</v>
      </c>
    </row>
    <row r="61" spans="1:2">
      <c r="A61" s="2905" t="s">
        <v>2690</v>
      </c>
      <c r="B61" s="2906" t="str">
        <f>'预评函-3'!A10</f>
        <v>4.估价师所知悉的法定优先受偿款情况为：</v>
      </c>
    </row>
    <row r="62" spans="1:2">
      <c r="A62" s="2905" t="s">
        <v>2689</v>
      </c>
      <c r="B62" s="2906" t="str">
        <f>'预评函-3'!A11</f>
        <v>（1）根据估价对象《不动产权证书》——、《国有土地使用权》复印件，截至估价期日，估价对象抵押权未见登记。</v>
      </c>
    </row>
    <row r="63" spans="1:2">
      <c r="A63" s="2905" t="s">
        <v>2691</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2692</v>
      </c>
      <c r="B64" s="2911" t="str">
        <f>'预评函-3'!A13</f>
        <v>（3）。</v>
      </c>
    </row>
    <row r="65" spans="1:2">
      <c r="A65" s="2905" t="s">
        <v>2693</v>
      </c>
      <c r="B65" s="2912" t="str">
        <f>'预评函-3'!A14</f>
        <v>综上，本次评估不存在估价师知悉的法定优先受偿款</v>
      </c>
    </row>
    <row r="66" spans="1:2">
      <c r="A66" s="2905" t="s">
        <v>2694</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2695</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2698</v>
      </c>
      <c r="B68" s="2931">
        <f>'预评函-3'!D30</f>
        <v>42558</v>
      </c>
    </row>
    <row r="69" spans="1:2" ht="15" thickTop="1">
      <c r="A69" s="2916" t="s">
        <v>2696</v>
      </c>
      <c r="B69" s="2917" t="str">
        <f>'预评函-3'!A20</f>
        <v>刘梅</v>
      </c>
    </row>
    <row r="70" spans="1:2">
      <c r="A70" s="2905" t="s">
        <v>2696</v>
      </c>
      <c r="B70" s="2912">
        <f ca="1">'预评函-3'!B20</f>
        <v>2008110059</v>
      </c>
    </row>
    <row r="71" spans="1:2">
      <c r="A71" s="2905" t="s">
        <v>2697</v>
      </c>
      <c r="B71" s="2906" t="str">
        <f>'预评函-3'!A21</f>
        <v>吴薇</v>
      </c>
    </row>
    <row r="72" spans="1:2" s="2920" customFormat="1" ht="15" thickBot="1">
      <c r="A72" s="2927" t="s">
        <v>2697</v>
      </c>
      <c r="B72" s="2933">
        <f ca="1">'预评函-3'!B21</f>
        <v>2002110125</v>
      </c>
    </row>
    <row r="73" spans="1:2" ht="15" thickTop="1">
      <c r="A73" s="2916" t="s">
        <v>2756</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2757</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2758</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2793</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25" t="str">
        <f>IF(B10="北京市","北京市",C10)&amp;F10&amp;B16&amp;"国有建设用地使用权"&amp;B9&amp;"预评估"</f>
        <v>浙江省杭州市富阳区银湖街道大山脚村出让国有建设用地使用权抵押价格预评估</v>
      </c>
      <c r="C1" s="3226"/>
      <c r="D1" s="3226"/>
      <c r="E1" s="3226"/>
      <c r="F1" s="3226"/>
      <c r="G1" s="3226"/>
      <c r="H1" s="3226"/>
      <c r="I1" s="3227"/>
      <c r="J1" s="1694"/>
      <c r="K1" s="2480" t="str">
        <f>IF(B10="北京市","北京市",C10)&amp;F10&amp;B16&amp;"国有建设用地使用权"&amp;B9</f>
        <v>浙江省杭州市富阳区银湖街道大山脚村出让国有建设用地使用权抵押价格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浙江省杭州市富阳区银湖街道大山脚村出让国有建设用地使用权</v>
      </c>
      <c r="L2" s="1723"/>
      <c r="M2" s="1723"/>
      <c r="N2" s="1694"/>
      <c r="O2" s="1695"/>
      <c r="P2" s="1694"/>
      <c r="Q2" s="1694"/>
      <c r="R2" s="1694"/>
      <c r="S2" s="1694"/>
      <c r="T2" s="1694"/>
      <c r="U2" s="1694"/>
    </row>
    <row r="3" spans="1:21">
      <c r="A3" s="1661" t="s">
        <v>1943</v>
      </c>
      <c r="B3" s="1662">
        <v>43074</v>
      </c>
      <c r="C3" s="1663" t="s">
        <v>1998</v>
      </c>
      <c r="D3" s="1662">
        <f>B3</f>
        <v>43074</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3079</v>
      </c>
      <c r="C4" s="1846">
        <f ca="1">SUMIF(土地估价师,B4,估价师及机构信息!E3:E24)</f>
        <v>2008110059</v>
      </c>
      <c r="D4" s="1843" t="s">
        <v>3078</v>
      </c>
      <c r="E4" s="1846">
        <f ca="1">SUMIF(土地估价师,D4,估价师及机构信息!E3:E24)</f>
        <v>2002110125</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刘梅、吴薇</v>
      </c>
      <c r="L4" s="1723"/>
      <c r="M4" s="1723"/>
      <c r="N4" s="1694"/>
      <c r="O4" s="1695"/>
      <c r="P4" s="1694"/>
      <c r="Q4" s="1694"/>
      <c r="R4" s="1694"/>
      <c r="S4" s="1694"/>
      <c r="T4" s="1694"/>
      <c r="U4" s="1694"/>
    </row>
    <row r="5" spans="1:21" ht="15" thickTop="1">
      <c r="A5" s="1665" t="s">
        <v>1945</v>
      </c>
      <c r="B5" s="1789" t="s">
        <v>3102</v>
      </c>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1789" t="s">
        <v>3103</v>
      </c>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2713</v>
      </c>
      <c r="B7" s="1789" t="str">
        <f>B5</f>
        <v>杭州佳欣置业有限公司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3104</v>
      </c>
      <c r="C8" s="1671"/>
      <c r="D8" s="3231" t="s">
        <v>1948</v>
      </c>
      <c r="E8" s="1844" t="s">
        <v>3105</v>
      </c>
      <c r="F8" s="1672"/>
      <c r="G8" s="1660"/>
      <c r="H8" s="1660"/>
      <c r="I8" s="1707"/>
      <c r="J8" s="1694"/>
      <c r="K8" s="1774"/>
      <c r="L8" s="1723"/>
      <c r="M8" s="1723"/>
      <c r="N8" s="1694"/>
      <c r="O8" s="1695"/>
      <c r="P8" s="1694"/>
      <c r="Q8" s="1694"/>
      <c r="R8" s="1694"/>
      <c r="S8" s="1694"/>
      <c r="T8" s="1694"/>
      <c r="U8" s="1694"/>
    </row>
    <row r="9" spans="1:21" ht="15" thickBot="1">
      <c r="A9" s="1673" t="s">
        <v>1947</v>
      </c>
      <c r="B9" s="1674" t="s">
        <v>3105</v>
      </c>
      <c r="C9" s="1675"/>
      <c r="D9" s="3232"/>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3106</v>
      </c>
      <c r="C10" s="1676"/>
      <c r="D10" s="1667"/>
      <c r="E10" s="1677" t="s">
        <v>1950</v>
      </c>
      <c r="F10" s="1678" t="s">
        <v>3108</v>
      </c>
      <c r="G10" s="1745"/>
      <c r="H10" s="1746"/>
      <c r="I10" s="1667"/>
      <c r="J10" s="1694"/>
      <c r="K10" s="1774"/>
      <c r="L10" s="1723"/>
      <c r="M10" s="1723"/>
      <c r="N10" s="1694"/>
      <c r="O10" s="1695"/>
      <c r="P10" s="1694"/>
      <c r="Q10" s="1694"/>
      <c r="R10" s="1694"/>
      <c r="S10" s="1694"/>
      <c r="T10" s="1694"/>
      <c r="U10" s="1694"/>
    </row>
    <row r="11" spans="1:21" ht="28.5">
      <c r="A11" s="1697" t="s">
        <v>2003</v>
      </c>
      <c r="B11" s="1698" t="s">
        <v>3107</v>
      </c>
      <c r="C11" s="1679" t="str">
        <f>B5</f>
        <v>杭州佳欣置业有限公司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28"/>
      <c r="C12" s="3229"/>
      <c r="D12" s="3230"/>
      <c r="E12" s="1699" t="s">
        <v>2064</v>
      </c>
      <c r="F12" s="3246" t="s">
        <v>2895</v>
      </c>
      <c r="G12" s="3247"/>
      <c r="H12" s="3247"/>
      <c r="I12" s="3248"/>
      <c r="J12" s="1694"/>
      <c r="K12" s="1774"/>
      <c r="L12" s="1723"/>
      <c r="M12" s="1723"/>
      <c r="N12" s="1694"/>
      <c r="O12" s="1695"/>
      <c r="P12" s="1694"/>
      <c r="Q12" s="1694"/>
      <c r="R12" s="1694"/>
      <c r="S12" s="1694"/>
      <c r="T12" s="1694"/>
      <c r="U12" s="1694"/>
    </row>
    <row r="13" spans="1:21">
      <c r="A13" s="1687" t="s">
        <v>2062</v>
      </c>
      <c r="B13" s="3228"/>
      <c r="C13" s="3229"/>
      <c r="D13" s="3230"/>
      <c r="E13" s="1699" t="s">
        <v>2064</v>
      </c>
      <c r="F13" s="3246" t="s">
        <v>2896</v>
      </c>
      <c r="G13" s="3247"/>
      <c r="H13" s="3247"/>
      <c r="I13" s="3248"/>
      <c r="J13" s="1694"/>
      <c r="K13" s="1774"/>
      <c r="L13" s="1723"/>
      <c r="M13" s="1723"/>
      <c r="N13" s="1694"/>
      <c r="O13" s="1695"/>
      <c r="P13" s="1694"/>
      <c r="Q13" s="1694"/>
      <c r="R13" s="1694"/>
      <c r="S13" s="1694"/>
      <c r="T13" s="1694"/>
      <c r="U13" s="1694"/>
    </row>
    <row r="14" spans="1:21">
      <c r="A14" s="1661" t="s">
        <v>2065</v>
      </c>
      <c r="B14" s="1699"/>
      <c r="C14" s="1845" t="s">
        <v>3109</v>
      </c>
      <c r="D14" s="1733" t="str">
        <f>IF(C14="不一致","是否符合证载地类范围","")</f>
        <v/>
      </c>
      <c r="E14" s="1699"/>
      <c r="F14" s="1790" t="s">
        <v>953</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3110</v>
      </c>
      <c r="C16" s="1699" t="s">
        <v>1952</v>
      </c>
      <c r="D16" s="2672" t="s">
        <v>1953</v>
      </c>
      <c r="E16" s="1722"/>
      <c r="F16" s="1722"/>
      <c r="G16" s="1722"/>
      <c r="H16" s="1722"/>
      <c r="I16" s="1686" t="s">
        <v>1958</v>
      </c>
      <c r="J16" s="1694"/>
      <c r="K16" s="2481" t="str">
        <f>IF(D17="","",D16&amp;TEXT(D17,"yyyy年m月d日;;"))</f>
        <v>住宅2062年11月18日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59493</v>
      </c>
      <c r="E17" s="1700"/>
      <c r="F17" s="1700"/>
      <c r="G17" s="1700"/>
      <c r="H17" s="1700"/>
      <c r="I17" s="1700"/>
      <c r="J17" s="1694"/>
      <c r="K17" s="2480" t="str">
        <f>CONCATENATE(K16,L16,M16,N16,O16,P16,Q16,R16,S16,T16,,U16)</f>
        <v>住宅2062年11月18日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44.98</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3"/>
      <c r="E20" s="3244"/>
      <c r="F20" s="3244"/>
      <c r="G20" s="3244"/>
      <c r="H20" s="3244"/>
      <c r="I20" s="3245"/>
      <c r="J20" s="1694"/>
      <c r="K20" s="1774"/>
      <c r="L20" s="1723"/>
      <c r="M20" s="1723"/>
      <c r="N20" s="1694"/>
      <c r="O20" s="1695"/>
      <c r="P20" s="1694"/>
      <c r="Q20" s="1694"/>
      <c r="R20" s="1694"/>
      <c r="S20" s="1694"/>
      <c r="T20" s="1694"/>
      <c r="U20" s="1694"/>
    </row>
    <row r="21" spans="1:21">
      <c r="A21" s="1763" t="s">
        <v>1962</v>
      </c>
      <c r="B21" s="1764" t="s">
        <v>1963</v>
      </c>
      <c r="C21" s="1759">
        <f>'数据-汇总表'!E3</f>
        <v>8000.25</v>
      </c>
      <c r="D21" s="1760" t="s">
        <v>1964</v>
      </c>
      <c r="E21" s="3233" t="s">
        <v>2001</v>
      </c>
      <c r="F21" s="3234"/>
      <c r="G21" s="3234"/>
      <c r="H21" s="3234"/>
      <c r="I21" s="3235"/>
      <c r="J21" s="1694"/>
      <c r="K21" s="1774"/>
      <c r="L21" s="1723"/>
      <c r="M21" s="1723"/>
      <c r="N21" s="1694"/>
      <c r="O21" s="1695"/>
      <c r="P21" s="1694"/>
      <c r="Q21" s="1694"/>
      <c r="R21" s="1694"/>
      <c r="S21" s="1694"/>
      <c r="T21" s="1694"/>
      <c r="U21" s="1694"/>
    </row>
    <row r="22" spans="1:21">
      <c r="A22" s="2663" t="s">
        <v>953</v>
      </c>
      <c r="B22" s="1661" t="s">
        <v>1965</v>
      </c>
      <c r="C22" s="1686">
        <f>'数据-汇总表'!D3</f>
        <v>10667</v>
      </c>
      <c r="D22" s="1687" t="s">
        <v>1964</v>
      </c>
      <c r="E22" s="3233" t="s">
        <v>3175</v>
      </c>
      <c r="F22" s="3234"/>
      <c r="G22" s="3234"/>
      <c r="H22" s="3234"/>
      <c r="I22" s="3235"/>
      <c r="J22" s="1694"/>
      <c r="K22" s="1774"/>
      <c r="L22" s="1723"/>
      <c r="M22" s="1723"/>
      <c r="N22" s="1694"/>
      <c r="O22" s="1695"/>
      <c r="P22" s="1694"/>
      <c r="Q22" s="1694"/>
      <c r="R22" s="1694"/>
      <c r="S22" s="1694"/>
      <c r="T22" s="1694"/>
      <c r="U22" s="1694"/>
    </row>
    <row r="23" spans="1:21" ht="43.5" thickBot="1">
      <c r="A23" s="1765" t="s">
        <v>1966</v>
      </c>
      <c r="B23" s="1701" t="s">
        <v>1967</v>
      </c>
      <c r="C23" s="1702" t="s">
        <v>3111</v>
      </c>
      <c r="D23" s="1703" t="s">
        <v>1968</v>
      </c>
      <c r="E23" s="1704" t="s">
        <v>3111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36" t="s">
        <v>1970</v>
      </c>
      <c r="C24" s="3237"/>
      <c r="D24" s="3238" t="s">
        <v>1971</v>
      </c>
      <c r="E24" s="3239"/>
      <c r="F24" s="1708" t="s">
        <v>1972</v>
      </c>
      <c r="G24" s="1694"/>
      <c r="H24" s="1694"/>
      <c r="I24" s="1707"/>
      <c r="J24" s="1694"/>
      <c r="K24" s="3224" t="s">
        <v>1973</v>
      </c>
      <c r="L24" s="2482"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953</v>
      </c>
      <c r="D25" s="1710"/>
      <c r="E25" s="1711" t="s">
        <v>953</v>
      </c>
      <c r="F25" s="1712"/>
      <c r="G25" s="1694"/>
      <c r="H25" s="1694"/>
      <c r="I25" s="1707"/>
      <c r="J25" s="1694"/>
      <c r="K25" s="3224"/>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4"/>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77"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78"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78"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79"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10" t="s">
        <v>2004</v>
      </c>
      <c r="B31" s="1764" t="s">
        <v>2005</v>
      </c>
      <c r="C31" s="3249" t="s">
        <v>3112</v>
      </c>
      <c r="D31" s="3250"/>
      <c r="E31" s="1694"/>
      <c r="F31" s="1694"/>
      <c r="G31" s="1694"/>
      <c r="H31" s="1694"/>
      <c r="I31" s="1707"/>
      <c r="J31" s="1694"/>
      <c r="K31" s="2483"/>
      <c r="L31" s="1694"/>
      <c r="M31" s="1694"/>
      <c r="N31" s="1694"/>
      <c r="O31" s="1694"/>
      <c r="P31" s="1694"/>
      <c r="Q31" s="1694"/>
      <c r="R31" s="1694"/>
      <c r="S31" s="1694"/>
      <c r="T31" s="1694"/>
      <c r="U31" s="1694"/>
    </row>
    <row r="32" spans="1:21">
      <c r="A32" s="3210"/>
      <c r="B32" s="1661" t="s">
        <v>2006</v>
      </c>
      <c r="C32" s="1719" t="s">
        <v>3113</v>
      </c>
      <c r="D32" s="1720"/>
      <c r="E32" s="1694"/>
      <c r="F32" s="1694"/>
      <c r="G32" s="1694"/>
      <c r="H32" s="1694"/>
      <c r="I32" s="1707"/>
      <c r="J32" s="1694"/>
      <c r="K32" s="2483"/>
      <c r="L32" s="1694"/>
      <c r="M32" s="1694"/>
      <c r="N32" s="1694"/>
      <c r="O32" s="1694"/>
      <c r="P32" s="1694"/>
      <c r="Q32" s="1694"/>
      <c r="R32" s="1694"/>
      <c r="S32" s="1694"/>
      <c r="T32" s="1694"/>
      <c r="U32" s="1694"/>
    </row>
    <row r="33" spans="1:21">
      <c r="A33" s="3210"/>
      <c r="B33" s="1661" t="s">
        <v>2007</v>
      </c>
      <c r="C33" s="1721" t="s">
        <v>3111</v>
      </c>
      <c r="D33" s="1838"/>
      <c r="E33" s="1694"/>
      <c r="F33" s="1694"/>
      <c r="G33" s="1694"/>
      <c r="H33" s="1694"/>
      <c r="I33" s="1707"/>
      <c r="J33" s="1694"/>
      <c r="K33" s="2483"/>
      <c r="L33" s="1694"/>
      <c r="M33" s="1694"/>
      <c r="N33" s="1694"/>
      <c r="O33" s="1694"/>
      <c r="P33" s="1694"/>
      <c r="Q33" s="1694"/>
      <c r="R33" s="1694"/>
      <c r="S33" s="1694"/>
      <c r="T33" s="1694"/>
      <c r="U33" s="1694"/>
    </row>
    <row r="34" spans="1:21">
      <c r="A34" s="3211"/>
      <c r="B34" s="1661" t="s">
        <v>2008</v>
      </c>
      <c r="C34" s="3212"/>
      <c r="D34" s="3213"/>
      <c r="E34" s="1694"/>
      <c r="F34" s="1694"/>
      <c r="G34" s="1694"/>
      <c r="H34" s="1694"/>
      <c r="I34" s="1707"/>
      <c r="J34" s="1694"/>
      <c r="K34" s="2483"/>
      <c r="L34" s="1694"/>
      <c r="M34" s="1694"/>
      <c r="N34" s="1694"/>
      <c r="O34" s="1694"/>
      <c r="P34" s="1694"/>
      <c r="Q34" s="1694"/>
      <c r="R34" s="1694"/>
      <c r="S34" s="1694"/>
      <c r="T34" s="1694"/>
      <c r="U34" s="1694"/>
    </row>
    <row r="35" spans="1:21">
      <c r="A35" s="3214" t="s">
        <v>848</v>
      </c>
      <c r="B35" s="1722" t="s">
        <v>3114</v>
      </c>
      <c r="C35" s="1776" t="str">
        <f>IF(B35="场地平整","——","具体情况：")</f>
        <v>——</v>
      </c>
      <c r="D35" s="3216"/>
      <c r="E35" s="3217"/>
      <c r="F35" s="3217"/>
      <c r="G35" s="3217"/>
      <c r="H35" s="3217"/>
      <c r="I35" s="3218"/>
      <c r="J35" s="1694"/>
      <c r="K35" s="1775"/>
      <c r="L35" s="1723"/>
      <c r="M35" s="1723"/>
      <c r="N35" s="1694"/>
      <c r="O35" s="1695"/>
      <c r="P35" s="1694"/>
      <c r="Q35" s="1694"/>
      <c r="R35" s="1694"/>
      <c r="S35" s="1694"/>
      <c r="T35" s="1694"/>
      <c r="U35" s="1694"/>
    </row>
    <row r="36" spans="1:21">
      <c r="A36" s="3210"/>
      <c r="B36" s="3219" t="s">
        <v>2057</v>
      </c>
      <c r="C36" s="3220"/>
      <c r="D36" s="1792" t="s">
        <v>3115</v>
      </c>
      <c r="E36" s="3221"/>
      <c r="F36" s="3221"/>
      <c r="G36" s="1687" t="str">
        <f>IF(B35="场地未平整","估价结果处理","")</f>
        <v/>
      </c>
      <c r="H36" s="3222"/>
      <c r="I36" s="3222"/>
      <c r="J36" s="1694"/>
      <c r="K36" s="1775"/>
      <c r="L36" s="1723"/>
      <c r="M36" s="1723"/>
      <c r="N36" s="1694"/>
      <c r="O36" s="1695"/>
      <c r="P36" s="1694"/>
      <c r="Q36" s="1694"/>
      <c r="R36" s="1694"/>
      <c r="S36" s="1694"/>
      <c r="T36" s="1694"/>
      <c r="U36" s="1694"/>
    </row>
    <row r="37" spans="1:21" ht="28.5">
      <c r="A37" s="3210"/>
      <c r="B37" s="3240"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10"/>
      <c r="B38" s="3241"/>
      <c r="C38" s="1669" t="s">
        <v>851</v>
      </c>
      <c r="D38" s="1791">
        <f>ROUNDDOWN(MIN(('数据-取费表'!$B$2-D37)/365,D34),1)</f>
        <v>118</v>
      </c>
      <c r="E38" s="1727" t="s">
        <v>852</v>
      </c>
      <c r="F38" s="1694"/>
      <c r="G38" s="1694"/>
      <c r="H38" s="1694"/>
      <c r="I38" s="1707"/>
      <c r="J38" s="1694"/>
      <c r="K38" s="1775"/>
      <c r="L38" s="1694"/>
      <c r="M38" s="1694"/>
      <c r="N38" s="1694"/>
      <c r="O38" s="1694"/>
      <c r="P38" s="1694"/>
      <c r="Q38" s="1694"/>
      <c r="R38" s="1694"/>
      <c r="S38" s="1694"/>
      <c r="T38" s="1694"/>
      <c r="U38" s="1694"/>
    </row>
    <row r="39" spans="1:21">
      <c r="A39" s="3211"/>
      <c r="B39" s="324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3116</v>
      </c>
      <c r="C40" s="1690" t="s">
        <v>3117</v>
      </c>
      <c r="D40" s="1690" t="s">
        <v>3118</v>
      </c>
      <c r="E40" s="1690" t="s">
        <v>3119</v>
      </c>
      <c r="F40" s="1690" t="s">
        <v>3120</v>
      </c>
      <c r="G40" s="1690" t="s">
        <v>3121</v>
      </c>
      <c r="H40" s="1690"/>
      <c r="I40" s="1707"/>
      <c r="J40" s="1694"/>
      <c r="K40" s="1730">
        <f>COUNTIF(B40:H40,"——")</f>
        <v>0</v>
      </c>
      <c r="L40" s="1699" t="s">
        <v>1981</v>
      </c>
      <c r="M40" s="1696" t="s">
        <v>1982</v>
      </c>
      <c r="N40" s="1696" t="s">
        <v>1983</v>
      </c>
      <c r="O40" s="1696" t="s">
        <v>1984</v>
      </c>
      <c r="P40" s="1696" t="s">
        <v>1985</v>
      </c>
      <c r="Q40" s="1696" t="s">
        <v>1986</v>
      </c>
      <c r="R40" s="1696" t="s">
        <v>1987</v>
      </c>
      <c r="S40" s="3223" t="s">
        <v>1988</v>
      </c>
      <c r="T40" s="1731" t="str">
        <f>NUMBERSTRING(7-K40,1)&amp;"通"</f>
        <v>七通</v>
      </c>
      <c r="U40" s="1694"/>
    </row>
    <row r="41" spans="1:21">
      <c r="A41" s="1663"/>
      <c r="B41" s="3215" t="s">
        <v>1723</v>
      </c>
      <c r="C41" s="3215"/>
      <c r="D41" s="3215"/>
      <c r="E41" s="3215"/>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v>
      </c>
      <c r="S41" s="3223"/>
      <c r="T41" s="1733" t="str">
        <f>IF(T40="一通",L41,IF(T40="二通",M41,IF(T40="三通",N41,IF(T40="四通",O41,IF(T40="五通",P41,IF(T40="六通",Q41,R41))))))</f>
        <v>通路、通电、通讯、通上水、通下水、通热、</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2897</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10667</v>
      </c>
      <c r="B3" s="22">
        <f>IF(C3="否",G5-AT5,G5)</f>
        <v>8000.25</v>
      </c>
      <c r="C3" s="23" t="s">
        <v>3111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8000.25</v>
      </c>
      <c r="H5" s="27">
        <f t="shared" ref="H5:AT5" si="0">SUM(H13:H641)</f>
        <v>8000.25</v>
      </c>
      <c r="I5" s="27">
        <f t="shared" si="0"/>
        <v>8000.25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8000.25</v>
      </c>
      <c r="BA5" s="29">
        <f t="shared" si="1"/>
        <v>8000.25</v>
      </c>
      <c r="BB5" s="29">
        <f t="shared" si="1"/>
        <v>8000.25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10667</v>
      </c>
      <c r="F6" s="27" t="s">
        <v>1</v>
      </c>
      <c r="G6" s="27" t="s">
        <v>2</v>
      </c>
      <c r="H6" s="33">
        <f>SUMIF(I$12:AB$12,"总值",I6:AB6)</f>
        <v>10667</v>
      </c>
      <c r="I6" s="27">
        <f t="shared" ref="I6:AB6" si="2">ROUND($A$3*I5/$B$3,2)</f>
        <v>10667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10667</v>
      </c>
      <c r="AZ6" s="27" t="s">
        <v>3</v>
      </c>
      <c r="BA6" s="27">
        <f>ROUND($AY$6*BA5/$AZ$5,2)</f>
        <v>10667</v>
      </c>
      <c r="BB6" s="27">
        <f>ROUND($AY$6*BB5/$AZ$5,2)</f>
        <v>10667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6" t="s">
        <v>3122</v>
      </c>
      <c r="J9" s="51"/>
      <c r="K9" s="3046"/>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6" t="s">
        <v>924</v>
      </c>
      <c r="J10" s="51"/>
      <c r="K10" s="3048"/>
      <c r="L10" s="51"/>
      <c r="M10" s="3048"/>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c r="J11" s="71"/>
      <c r="K11" s="3047"/>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c r="C13" s="3041"/>
      <c r="D13" s="3042" t="s">
        <v>1680</v>
      </c>
      <c r="E13" s="27">
        <f t="shared" ref="E13:E20" si="6">IF($C$3="是",ROUND($A$3*G13/$B$3,2),ROUND($A$3*(G13-AT13)/$B$3,2))</f>
        <v>10667</v>
      </c>
      <c r="F13" s="81"/>
      <c r="G13" s="82">
        <f t="shared" ref="G13:G20" si="7">H13+AC13+AT13</f>
        <v>8000.25</v>
      </c>
      <c r="H13" s="33">
        <f t="shared" ref="H13:H20" si="8">SUMIF(I$12:AB$12,"总值",I13:AB13)</f>
        <v>8000.25</v>
      </c>
      <c r="I13" s="3045">
        <f>ROUND(10667*0.75,2)</f>
        <v>8000.25</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f t="shared" si="10"/>
        <v>0</v>
      </c>
      <c r="AY13" s="996">
        <f t="shared" ref="AY13:AY20" si="11">ROUND($AY$6*AZ13/$AZ$5,2)</f>
        <v>10667</v>
      </c>
      <c r="AZ13" s="27">
        <f t="shared" ref="AZ13:AZ20" si="12">BA13+BL13</f>
        <v>8000.25</v>
      </c>
      <c r="BA13" s="27">
        <f t="shared" ref="BA13:BA20" si="13">SUM(BB13:BK13)</f>
        <v>8000.25</v>
      </c>
      <c r="BB13" s="27">
        <f t="shared" ref="BB13:BB20" si="14">IF($D13="是",I13-J13,0)</f>
        <v>8000.25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2" t="s">
        <v>203</v>
      </c>
      <c r="B2" s="3262"/>
      <c r="C2" s="3262"/>
      <c r="D2" s="1976" t="s">
        <v>204</v>
      </c>
      <c r="E2" s="106" t="s">
        <v>205</v>
      </c>
      <c r="F2" s="1985"/>
      <c r="G2" s="1198"/>
      <c r="H2" s="1199"/>
      <c r="I2" s="1200" t="s">
        <v>858</v>
      </c>
      <c r="J2" s="1985"/>
      <c r="K2" s="1985"/>
      <c r="L2" s="1985"/>
    </row>
    <row r="3" spans="1:16" ht="15.75" thickBot="1">
      <c r="A3" s="3263" t="s">
        <v>206</v>
      </c>
      <c r="B3" s="3263"/>
      <c r="C3" s="3263"/>
      <c r="D3" s="107">
        <f>'数据-基础表'!AY6</f>
        <v>10667</v>
      </c>
      <c r="E3" s="107">
        <f>'数据-基础表'!AZ5</f>
        <v>8000.25</v>
      </c>
      <c r="F3" s="1985"/>
      <c r="G3" s="280" t="s">
        <v>859</v>
      </c>
      <c r="H3" s="275" t="s">
        <v>860</v>
      </c>
      <c r="I3" s="1977">
        <f>ROUND('数据-基础表'!B3/'数据-基础表'!A3,2)</f>
        <v>0.75</v>
      </c>
      <c r="J3" s="1985"/>
      <c r="K3" s="1985"/>
      <c r="L3" s="1985"/>
    </row>
    <row r="4" spans="1:16" ht="15">
      <c r="A4" s="3264"/>
      <c r="B4" s="3265"/>
      <c r="C4" s="3266"/>
      <c r="D4" s="108" t="s">
        <v>204</v>
      </c>
      <c r="E4" s="109" t="s">
        <v>205</v>
      </c>
      <c r="F4" s="1985"/>
      <c r="G4" s="1201"/>
      <c r="H4" s="275" t="s">
        <v>861</v>
      </c>
      <c r="I4" s="1977">
        <f>ROUND(SUMIF('数据-基础表'!I9:AS9,"地上",'数据-基础表'!I5:AS5)/'数据-基础表'!A3,2)</f>
        <v>0.75</v>
      </c>
      <c r="J4" s="1985"/>
      <c r="K4" s="1985"/>
      <c r="L4" s="1985"/>
    </row>
    <row r="5" spans="1:16">
      <c r="A5" s="110" t="s">
        <v>207</v>
      </c>
      <c r="B5" s="3267" t="s">
        <v>230</v>
      </c>
      <c r="C5" s="3267"/>
      <c r="D5" s="111">
        <f>ROUND($D$3*E5/$E$3,2)</f>
        <v>10667</v>
      </c>
      <c r="E5" s="112">
        <f>SUMIF('数据-基础表'!$11:$11,"住宅",'数据-基础表'!$5:$5)</f>
        <v>8000.25</v>
      </c>
      <c r="F5" s="1985"/>
      <c r="G5" s="280" t="s">
        <v>862</v>
      </c>
      <c r="H5" s="275" t="s">
        <v>860</v>
      </c>
      <c r="I5" s="1977">
        <f>ROUND(E31/D31,2)</f>
        <v>0.75</v>
      </c>
      <c r="J5" s="1985"/>
      <c r="K5" s="1985"/>
      <c r="L5" s="1985"/>
    </row>
    <row r="6" spans="1:16" ht="15" thickBot="1">
      <c r="A6" s="113"/>
      <c r="B6" s="3267" t="s">
        <v>208</v>
      </c>
      <c r="C6" s="3267"/>
      <c r="D6" s="111">
        <f>ROUND($D$3*E6/$E$3,2)</f>
        <v>0</v>
      </c>
      <c r="E6" s="112">
        <f>E3-E5</f>
        <v>0</v>
      </c>
      <c r="F6" s="1985"/>
      <c r="G6" s="1201"/>
      <c r="H6" s="275" t="s">
        <v>861</v>
      </c>
      <c r="I6" s="1977">
        <f>ROUND(F31/D31,2)</f>
        <v>0.75</v>
      </c>
      <c r="J6" s="1985"/>
      <c r="K6" s="1985"/>
      <c r="L6" s="1985"/>
    </row>
    <row r="7" spans="1:16" ht="15">
      <c r="A7" s="3259"/>
      <c r="B7" s="3260"/>
      <c r="C7" s="3261"/>
      <c r="D7" s="108" t="s">
        <v>204</v>
      </c>
      <c r="E7" s="114" t="s">
        <v>231</v>
      </c>
      <c r="F7" s="1985"/>
      <c r="G7" s="1156" t="s">
        <v>1647</v>
      </c>
      <c r="H7" s="1157"/>
      <c r="I7" s="1847"/>
      <c r="J7" s="1985"/>
      <c r="K7" s="1985"/>
      <c r="L7" s="1985"/>
    </row>
    <row r="8" spans="1:16">
      <c r="A8" s="110" t="s">
        <v>209</v>
      </c>
      <c r="B8" s="115" t="s">
        <v>210</v>
      </c>
      <c r="C8" s="111" t="s">
        <v>211</v>
      </c>
      <c r="D8" s="111">
        <f t="shared" ref="D8:D15" si="0">ROUND($D$3*E8/$E$3,2)</f>
        <v>10667</v>
      </c>
      <c r="E8" s="116">
        <f>SUMIF('数据-基础表'!BB10:BK10,"地上",'数据-基础表'!BB5:BK5)</f>
        <v>8000.25</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10667</v>
      </c>
      <c r="E16" s="120">
        <f>SUM(E8:E15)</f>
        <v>8000.25</v>
      </c>
      <c r="F16" s="1985"/>
      <c r="G16" s="1987"/>
      <c r="H16" s="968" t="s">
        <v>219</v>
      </c>
      <c r="I16" s="969"/>
      <c r="J16" s="1985"/>
      <c r="K16" s="3253" t="s">
        <v>2571</v>
      </c>
      <c r="L16" s="3254"/>
      <c r="M16" s="3254"/>
      <c r="N16" s="3254"/>
      <c r="O16" s="3254"/>
      <c r="P16" s="3255"/>
    </row>
    <row r="17" spans="1:19" ht="15">
      <c r="A17" s="121" t="s">
        <v>216</v>
      </c>
      <c r="B17" s="122" t="s">
        <v>217</v>
      </c>
      <c r="C17" s="2299" t="s">
        <v>2316</v>
      </c>
      <c r="D17" s="108" t="s">
        <v>204</v>
      </c>
      <c r="E17" s="124" t="s">
        <v>205</v>
      </c>
      <c r="F17" s="125"/>
      <c r="G17" s="1366"/>
      <c r="H17" s="970" t="s">
        <v>218</v>
      </c>
      <c r="I17" s="971" t="s">
        <v>2315</v>
      </c>
      <c r="J17" s="1985"/>
      <c r="K17" s="3256" t="s">
        <v>2572</v>
      </c>
      <c r="L17" s="3257"/>
      <c r="M17" s="3258"/>
      <c r="N17" s="3256" t="s">
        <v>2573</v>
      </c>
      <c r="O17" s="3257"/>
      <c r="P17" s="3258"/>
      <c r="R17" s="2300" t="s">
        <v>2314</v>
      </c>
      <c r="S17" s="144"/>
    </row>
    <row r="18" spans="1:19" ht="15">
      <c r="A18" s="117"/>
      <c r="B18" s="128"/>
      <c r="C18" s="129"/>
      <c r="D18" s="2668"/>
      <c r="E18" s="130" t="s">
        <v>220</v>
      </c>
      <c r="F18" s="131" t="s">
        <v>221</v>
      </c>
      <c r="G18" s="1367" t="s">
        <v>222</v>
      </c>
      <c r="H18" s="972" t="s">
        <v>223</v>
      </c>
      <c r="I18" s="973" t="s">
        <v>224</v>
      </c>
      <c r="J18" s="1985"/>
      <c r="K18" s="2630" t="s">
        <v>2574</v>
      </c>
      <c r="L18" s="2631" t="s">
        <v>2575</v>
      </c>
      <c r="M18" s="2632" t="s">
        <v>2576</v>
      </c>
      <c r="N18" s="2630" t="s">
        <v>2574</v>
      </c>
      <c r="O18" s="2631" t="s">
        <v>2575</v>
      </c>
      <c r="P18" s="2632" t="s">
        <v>2576</v>
      </c>
      <c r="R18" s="2301" t="s">
        <v>2312</v>
      </c>
      <c r="S18" s="2301" t="s">
        <v>2313</v>
      </c>
    </row>
    <row r="19" spans="1:19">
      <c r="A19" s="133"/>
      <c r="B19" s="115" t="s">
        <v>225</v>
      </c>
      <c r="C19" s="3052" t="s">
        <v>3123</v>
      </c>
      <c r="D19" s="111">
        <f t="shared" ref="D19:D26" si="1">ROUND($D$3*E19/$E$3,2)</f>
        <v>10667</v>
      </c>
      <c r="E19" s="134">
        <f t="shared" ref="E19:E26" si="2">SUM(F19:G19)</f>
        <v>8000.25</v>
      </c>
      <c r="F19" s="135">
        <f>'数据-基础表'!I13</f>
        <v>8000.25</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10667</v>
      </c>
      <c r="S19" s="2302">
        <f t="shared" si="5"/>
        <v>8000.25</v>
      </c>
    </row>
    <row r="20" spans="1:19">
      <c r="A20" s="138"/>
      <c r="B20" s="115" t="s">
        <v>226</v>
      </c>
      <c r="C20" s="3052"/>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2"/>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10667</v>
      </c>
      <c r="E27" s="143">
        <f>IF(SUM(E19:E26)='数据-基础表'!BA5,SUM(E19:E26),IF(F27="地上面积有误","面积有误","地下面积有误"))</f>
        <v>8000.25</v>
      </c>
      <c r="F27" s="134">
        <f>IF(SUM(F19:F26)=E8,SUM(F19:F26),"地上面积有误")</f>
        <v>8000.25</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10667</v>
      </c>
      <c r="S27" s="275">
        <f>IF(SUM(S19:S26)=$E$3,SUM(S19:S26),SUM(S19:S26)&amp;"误差"&amp;ROUND(SUM(S19:S26)-E3,2))</f>
        <v>8000.25</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10667</v>
      </c>
      <c r="E31" s="1372">
        <f>E27+E30</f>
        <v>8000.25</v>
      </c>
      <c r="F31" s="1373">
        <f>F27+F30</f>
        <v>8000.25</v>
      </c>
      <c r="G31" s="1374">
        <f>G27+G30</f>
        <v>0</v>
      </c>
      <c r="H31" s="1985"/>
      <c r="I31" s="1985"/>
      <c r="J31" s="1985"/>
      <c r="K31" s="1985"/>
      <c r="L31" s="1985"/>
    </row>
    <row r="32" spans="1:19">
      <c r="A32" s="1985"/>
      <c r="B32" s="2364" t="s">
        <v>2324</v>
      </c>
      <c r="C32" s="2673"/>
      <c r="D32" s="1201"/>
      <c r="E32" s="1201">
        <f>SUMIF(C19:C26,"*住宅*",E19:E26)</f>
        <v>8000.25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C27" sqref="C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43074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6" t="s">
        <v>2577</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59493</v>
      </c>
      <c r="F6" s="174">
        <f>SUMIF(项目基本情况!D$15:I$15,C6,项目基本情况!D$19:I$19)</f>
        <v>44.98</v>
      </c>
      <c r="G6" s="175">
        <f>IF(ISERROR(ROUND(POWER(1+H6,D6-F6)*(POWER(1+H6,F6)-1)/(POWER(1+H6,D6)-1),3)),0,ROUND(POWER(1+H6,D6-F6)*(POWER(1+H6,F6)-1)/(POWER(1+H6,D6)-1),3))</f>
        <v>0.90300000000000002</v>
      </c>
      <c r="H6" s="3053">
        <v>4.4999999999999998E-2</v>
      </c>
      <c r="I6" s="3053">
        <v>0.05</v>
      </c>
      <c r="J6" s="176">
        <v>8.5000000000000006E-2</v>
      </c>
      <c r="K6" s="179">
        <f>SUMIF('数据-汇总表'!C$19:C$33,'数据-取费表'!A6,'数据-汇总表'!E$19:E$33)</f>
        <v>8000.25</v>
      </c>
      <c r="L6" s="3054">
        <v>3000</v>
      </c>
      <c r="M6" s="177">
        <f t="shared" ref="M6:M14" si="0">ROUND(K6*L6/10000,0)</f>
        <v>2400</v>
      </c>
      <c r="N6" s="3055">
        <v>0</v>
      </c>
      <c r="O6" s="177">
        <f>IF($N$5="成新度","——",ROUND(M6*N6,0))</f>
        <v>0</v>
      </c>
      <c r="P6" s="178">
        <f>IF($N$5="成新度","——",M6-O6)</f>
        <v>2400</v>
      </c>
      <c r="Q6" s="3056">
        <v>0.25</v>
      </c>
      <c r="R6" s="179">
        <f>SUMIF('数据-汇总表'!C$19:C$33,A6,'数据-汇总表'!R$19:R$33)</f>
        <v>10667</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0.02</v>
      </c>
      <c r="AL6" s="190">
        <v>2E-3</v>
      </c>
      <c r="AM6" s="3067">
        <v>0.02</v>
      </c>
      <c r="AN6" s="2417"/>
      <c r="AO6" s="2001"/>
      <c r="AP6" s="1204">
        <f>ROUND(1-1/(1+H6)^F6,3)</f>
        <v>0.86199999999999999</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3"/>
      <c r="I7" s="3053"/>
      <c r="J7" s="176"/>
      <c r="K7" s="179">
        <f>SUMIF('数据-汇总表'!C$19:C$33,'数据-取费表'!A7,'数据-汇总表'!E$19:E$33)</f>
        <v>0</v>
      </c>
      <c r="L7" s="3054"/>
      <c r="M7" s="177">
        <f t="shared" si="0"/>
        <v>0</v>
      </c>
      <c r="N7" s="3055"/>
      <c r="O7" s="177">
        <f t="shared" ref="O7:O14" si="3">IF($N$5="成新度","——",ROUND(M7*N7,0))</f>
        <v>0</v>
      </c>
      <c r="P7" s="178">
        <f t="shared" ref="P7:P14" si="4">IF($N$5="成新度","——",M7-O7)</f>
        <v>0</v>
      </c>
      <c r="Q7" s="3056"/>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0.90300000000000002</v>
      </c>
      <c r="H16" s="203">
        <f>ROUND(SUMPRODUCT(H6:H13,K6:K13)/SUMPRODUCT((H6:H13&gt;0)*(K6:K13)),3)</f>
        <v>4.4999999999999998E-2</v>
      </c>
      <c r="I16" s="204"/>
      <c r="J16" s="204"/>
      <c r="K16" s="205">
        <f>SUM(K6:K15)</f>
        <v>8000.25</v>
      </c>
      <c r="L16" s="206">
        <f>ROUND(M16*10000/SUM(K6:K14),0)</f>
        <v>3000</v>
      </c>
      <c r="M16" s="206">
        <f>SUM(M6:M14)</f>
        <v>2400</v>
      </c>
      <c r="N16" s="207">
        <f>ROUND(SUMPRODUCT(M6:M14,N6:N14)/M16,3)</f>
        <v>0</v>
      </c>
      <c r="O16" s="206">
        <f>SUM(O6:O14)</f>
        <v>0</v>
      </c>
      <c r="P16" s="206">
        <f>SUM(P6:P14)</f>
        <v>2400</v>
      </c>
      <c r="Q16" s="208">
        <f>ROUND(SUMPRODUCT(Q6:Q13,K6:K13)/SUMPRODUCT((Q6:Q13&gt;0)*(K6:K13)),2)</f>
        <v>0.25</v>
      </c>
      <c r="R16" s="2312">
        <f>SUM(R6:R13)</f>
        <v>10667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0.86199999999999999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55</v>
      </c>
      <c r="C27" s="3102" t="s">
        <v>3177</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200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2899</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2460</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2461</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2906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3" t="s">
        <v>2907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2908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1328</v>
      </c>
      <c r="C53" s="3104" t="s">
        <v>2909</v>
      </c>
      <c r="D53" s="3105" t="s">
        <v>2910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2911</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2912</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2913</v>
      </c>
      <c r="B56" s="186">
        <v>5</v>
      </c>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2914</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2915</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2916</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2919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8" t="s">
        <v>1665</v>
      </c>
      <c r="B1" s="3269"/>
      <c r="C1" s="3269"/>
      <c r="D1" s="3269"/>
      <c r="E1" s="3269"/>
      <c r="F1" s="3269"/>
      <c r="G1" s="3269"/>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67.5">
      <c r="A3" s="1227" t="s">
        <v>1668</v>
      </c>
      <c r="B3" s="1228" t="s">
        <v>1655</v>
      </c>
      <c r="C3" s="3175" t="s">
        <v>3143</v>
      </c>
      <c r="D3" s="2010"/>
      <c r="E3" s="1229" t="s">
        <v>1668</v>
      </c>
      <c r="F3" s="1230" t="s">
        <v>1656</v>
      </c>
      <c r="G3" s="3111" t="s">
        <v>2925</v>
      </c>
      <c r="H3" s="2009"/>
      <c r="I3" s="2009"/>
      <c r="J3" s="2009"/>
      <c r="K3" s="2009"/>
      <c r="L3" s="2009"/>
      <c r="M3" s="2009"/>
      <c r="N3" s="2009"/>
      <c r="O3" s="2009"/>
      <c r="P3" s="2009"/>
      <c r="Q3" s="2009"/>
      <c r="R3" s="2009"/>
    </row>
    <row r="4" spans="1:18" ht="41.25">
      <c r="A4" s="1229"/>
      <c r="B4" s="1231" t="s">
        <v>1669</v>
      </c>
      <c r="C4" s="3109" t="s">
        <v>2926</v>
      </c>
      <c r="D4" s="2010"/>
      <c r="E4" s="1232"/>
      <c r="F4" s="1233" t="s">
        <v>1670</v>
      </c>
      <c r="G4" s="3110" t="s">
        <v>2922</v>
      </c>
      <c r="H4" s="2009"/>
      <c r="I4" s="2009"/>
      <c r="J4" s="2009"/>
      <c r="K4" s="2009"/>
      <c r="L4" s="2009"/>
      <c r="M4" s="2009"/>
      <c r="N4" s="2009"/>
      <c r="O4" s="2009"/>
      <c r="P4" s="2009"/>
      <c r="Q4" s="2009"/>
      <c r="R4" s="2009"/>
    </row>
    <row r="5" spans="1:18" ht="41.25">
      <c r="A5" s="1229"/>
      <c r="B5" s="1231" t="s">
        <v>1671</v>
      </c>
      <c r="C5" s="3109" t="s">
        <v>2927</v>
      </c>
      <c r="D5" s="2010"/>
      <c r="E5" s="1232"/>
      <c r="F5" s="1231" t="s">
        <v>2551</v>
      </c>
      <c r="G5" s="3110" t="s">
        <v>2923</v>
      </c>
      <c r="H5" s="2009"/>
      <c r="I5" s="2009"/>
      <c r="J5" s="2009"/>
      <c r="K5" s="2009"/>
      <c r="L5" s="2009"/>
      <c r="M5" s="2009"/>
      <c r="N5" s="2009"/>
      <c r="O5" s="2009"/>
      <c r="P5" s="2009"/>
      <c r="Q5" s="2009"/>
      <c r="R5" s="2009"/>
    </row>
    <row r="6" spans="1:18" ht="67.5">
      <c r="A6" s="1229"/>
      <c r="B6" s="1231" t="s">
        <v>1657</v>
      </c>
      <c r="C6" s="3176" t="s">
        <v>3144</v>
      </c>
      <c r="D6" s="2010"/>
      <c r="E6" s="1232"/>
      <c r="F6" s="1231" t="s">
        <v>2552</v>
      </c>
      <c r="G6" s="3110" t="s">
        <v>2921</v>
      </c>
      <c r="H6" s="2009"/>
      <c r="I6" s="2009"/>
      <c r="J6" s="2009"/>
      <c r="K6" s="2009"/>
      <c r="L6" s="2009"/>
      <c r="M6" s="2009"/>
      <c r="N6" s="2009"/>
      <c r="O6" s="2009"/>
      <c r="P6" s="2009"/>
      <c r="Q6" s="2009"/>
      <c r="R6" s="2009"/>
    </row>
    <row r="7" spans="1:18" ht="41.25" thickBot="1">
      <c r="A7" s="1229"/>
      <c r="B7" s="1231" t="s">
        <v>2551</v>
      </c>
      <c r="C7" s="3176" t="s">
        <v>3145</v>
      </c>
      <c r="D7" s="2011"/>
      <c r="E7" s="1234"/>
      <c r="F7" s="1235" t="s">
        <v>1672</v>
      </c>
      <c r="G7" s="3112" t="s">
        <v>2924</v>
      </c>
      <c r="H7" s="2009"/>
      <c r="I7" s="2009"/>
      <c r="J7" s="2009"/>
      <c r="K7" s="2009"/>
      <c r="L7" s="2009"/>
      <c r="M7" s="2009"/>
      <c r="N7" s="2009"/>
      <c r="O7" s="2009"/>
      <c r="P7" s="2009"/>
      <c r="Q7" s="2009"/>
      <c r="R7" s="2009"/>
    </row>
    <row r="8" spans="1:18" ht="27">
      <c r="A8" s="1229"/>
      <c r="B8" s="1231" t="s">
        <v>2552</v>
      </c>
      <c r="C8" s="3176" t="s">
        <v>3146</v>
      </c>
      <c r="D8" s="2011"/>
      <c r="E8" s="2011"/>
      <c r="F8" s="1554"/>
      <c r="G8" s="1554"/>
      <c r="H8" s="2009"/>
      <c r="I8" s="2009"/>
      <c r="J8" s="2009"/>
      <c r="K8" s="2009"/>
      <c r="L8" s="2009"/>
      <c r="M8" s="2009"/>
      <c r="N8" s="2009"/>
      <c r="O8" s="2009"/>
      <c r="P8" s="2009"/>
      <c r="Q8" s="2009"/>
      <c r="R8" s="2009"/>
    </row>
    <row r="9" spans="1:18" ht="40.5">
      <c r="A9" s="1229"/>
      <c r="B9" s="1231" t="s">
        <v>1658</v>
      </c>
      <c r="C9" s="3177" t="s">
        <v>3147</v>
      </c>
      <c r="D9" s="2010"/>
      <c r="E9" s="2011"/>
      <c r="F9" s="1554"/>
      <c r="G9" s="1554"/>
      <c r="H9" s="2009"/>
      <c r="I9" s="2009"/>
      <c r="J9" s="2009"/>
      <c r="K9" s="2009"/>
      <c r="L9" s="2009"/>
      <c r="M9" s="2009"/>
      <c r="N9" s="2009"/>
      <c r="O9" s="2009"/>
      <c r="P9" s="2009"/>
      <c r="Q9" s="2009"/>
      <c r="R9" s="2009"/>
    </row>
    <row r="10" spans="1:18" s="2017" customFormat="1" ht="14.25" thickBot="1">
      <c r="A10" s="1236"/>
      <c r="B10" s="1237" t="s">
        <v>1673</v>
      </c>
      <c r="C10" s="3179" t="s">
        <v>3149</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67.5">
      <c r="A15" s="2613" t="s">
        <v>1659</v>
      </c>
      <c r="B15" s="1242" t="s">
        <v>1655</v>
      </c>
      <c r="C15" s="1243" t="str">
        <f>C3</f>
        <v>估价对象周边居住用地比例一般、居住小区有九龙山庄、颐景山庄、鸣翠蓝湾等，综合评价居住社区成熟度一般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67.5">
      <c r="A18" s="2614"/>
      <c r="B18" s="1247" t="s">
        <v>1657</v>
      </c>
      <c r="C18" s="1005" t="str">
        <f>C6</f>
        <v>估价对象临沪瑞线，周边道路通达状况一般、附近公共交通较少，停车较便捷，综合评价交通便捷度一般</v>
      </c>
      <c r="D18" s="2011"/>
      <c r="E18" s="2611"/>
      <c r="F18" s="1247" t="s">
        <v>1672</v>
      </c>
      <c r="G18" s="1005" t="str">
        <f>G7</f>
        <v>该园区内是否有污染型企业，绿化情况，卫生条件，整体环境状况判断</v>
      </c>
    </row>
    <row r="19" spans="1:7" ht="27">
      <c r="A19" s="2614"/>
      <c r="B19" s="1247" t="s">
        <v>1661</v>
      </c>
      <c r="C19" s="3178" t="s">
        <v>3148</v>
      </c>
      <c r="D19" s="2010"/>
      <c r="E19" s="2611"/>
      <c r="F19" s="1231" t="s">
        <v>2551</v>
      </c>
      <c r="G19" s="1005" t="str">
        <f>G5</f>
        <v>估价对象所在区域公共配套设施齐备情况</v>
      </c>
    </row>
    <row r="20" spans="1:7" ht="40.5">
      <c r="A20" s="2614"/>
      <c r="B20" s="1247" t="s">
        <v>1662</v>
      </c>
      <c r="C20" s="1246" t="str">
        <f>C9</f>
        <v>区域自然环境好；人文环境一般；综合评价环境状况较好</v>
      </c>
      <c r="D20" s="2011"/>
      <c r="E20" s="2611"/>
      <c r="F20" s="1231" t="s">
        <v>2552</v>
      </c>
      <c r="G20" s="1005" t="str">
        <f>G6</f>
        <v>估价对象所在区域基础设施水平</v>
      </c>
    </row>
    <row r="21" spans="1:7" ht="27">
      <c r="A21" s="2614"/>
      <c r="B21" s="1231" t="s">
        <v>2551</v>
      </c>
      <c r="C21" s="1005" t="str">
        <f>C7</f>
        <v>估价对象所在区域公共配套设施齐备情况一般</v>
      </c>
      <c r="D21" s="2010"/>
      <c r="E21" s="2611"/>
      <c r="F21" s="1247" t="s">
        <v>1663</v>
      </c>
      <c r="G21" s="3113"/>
    </row>
    <row r="22" spans="1:7" ht="27">
      <c r="A22" s="2614"/>
      <c r="B22" s="1231" t="s">
        <v>2552</v>
      </c>
      <c r="C22" s="1005" t="str">
        <f>C8</f>
        <v>估价对象所在区域基础设施水平六通</v>
      </c>
      <c r="D22" s="2010"/>
      <c r="E22" s="2611"/>
      <c r="F22" s="1247" t="s">
        <v>1673</v>
      </c>
      <c r="G22" s="2821"/>
    </row>
    <row r="23" spans="1:7" ht="15" thickBot="1">
      <c r="A23" s="2614"/>
      <c r="B23" s="1247" t="s">
        <v>1663</v>
      </c>
      <c r="C23" s="3113" t="s">
        <v>3137</v>
      </c>
      <c r="E23" s="2612"/>
      <c r="F23" s="1248" t="s">
        <v>1677</v>
      </c>
      <c r="G23" s="3114"/>
    </row>
    <row r="24" spans="1:7" ht="14.25" thickBot="1">
      <c r="A24" s="2615"/>
      <c r="B24" s="1248" t="s">
        <v>1664</v>
      </c>
      <c r="C24" s="1249" t="str">
        <f>C10</f>
        <v>高速路——沪瑞线</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3073" t="s">
        <v>2850</v>
      </c>
      <c r="B1" s="3073">
        <f>SUM(B14:B23)</f>
        <v>8000.25</v>
      </c>
      <c r="C1" s="3074"/>
      <c r="D1" s="3074"/>
      <c r="E1" s="3074"/>
      <c r="F1" s="3074"/>
    </row>
    <row r="2" spans="1:9" ht="16.5">
      <c r="A2" s="3073" t="s">
        <v>2851</v>
      </c>
      <c r="B2" s="3073">
        <f>SUM(C14:C23)</f>
        <v>10667</v>
      </c>
      <c r="C2" s="3074"/>
      <c r="D2" s="3074"/>
      <c r="E2" s="3074"/>
      <c r="F2" s="3074"/>
    </row>
    <row r="3" spans="1:9" ht="16.5">
      <c r="A3" s="3073" t="s">
        <v>2852</v>
      </c>
      <c r="B3" s="3075">
        <f>项目基本情况!D3</f>
        <v>43074</v>
      </c>
      <c r="C3" s="3074"/>
      <c r="D3" s="3074"/>
      <c r="E3" s="3074"/>
      <c r="F3" s="3074"/>
    </row>
    <row r="4" spans="1:9" ht="33">
      <c r="A4" s="3073" t="s">
        <v>2853</v>
      </c>
      <c r="B4" s="3073" t="s">
        <v>2854</v>
      </c>
      <c r="C4" s="3073" t="s">
        <v>2855</v>
      </c>
      <c r="D4" s="3073" t="s">
        <v>2856</v>
      </c>
      <c r="E4" s="3074"/>
      <c r="F4" s="3074"/>
    </row>
    <row r="5" spans="1:9" ht="16.5">
      <c r="A5" s="3073" t="s">
        <v>2857</v>
      </c>
      <c r="B5" s="3073">
        <f ca="1">SUM(D14:D23)</f>
        <v>7528</v>
      </c>
      <c r="C5" s="3073">
        <f ca="1">ROUND(B5*10000/$B$1,0)</f>
        <v>9410</v>
      </c>
      <c r="D5" s="3073">
        <f ca="1">ROUND(B5*10000/$B$2,0)</f>
        <v>7057</v>
      </c>
      <c r="E5" s="3074"/>
      <c r="F5" s="3074"/>
    </row>
    <row r="6" spans="1:9" ht="16.5">
      <c r="A6" s="3073" t="s">
        <v>2858</v>
      </c>
      <c r="B6" s="3073">
        <f ca="1">SUM(G14:G23)</f>
        <v>7528</v>
      </c>
      <c r="C6" s="3073">
        <f t="shared" ref="C6:C8" ca="1" si="0">ROUND(B6*10000/$B$1,0)</f>
        <v>9410</v>
      </c>
      <c r="D6" s="3073">
        <f t="shared" ref="D6:D8" ca="1" si="1">ROUND(B6*10000/$B$2,0)</f>
        <v>7057</v>
      </c>
      <c r="E6" s="3074"/>
      <c r="F6" s="3074"/>
    </row>
    <row r="7" spans="1:9" ht="16.5">
      <c r="A7" s="3073" t="s">
        <v>2859</v>
      </c>
      <c r="B7" s="3073">
        <f>SUM(H14:H23)</f>
        <v>0</v>
      </c>
      <c r="C7" s="3073">
        <f t="shared" si="0"/>
        <v>0</v>
      </c>
      <c r="D7" s="3073">
        <f t="shared" si="1"/>
        <v>0</v>
      </c>
      <c r="E7" s="3074"/>
      <c r="F7" s="3074"/>
    </row>
    <row r="8" spans="1:9" ht="16.5">
      <c r="A8" s="3073" t="s">
        <v>2860</v>
      </c>
      <c r="B8" s="3073">
        <f>SUM(I14:I23)</f>
        <v>0</v>
      </c>
      <c r="C8" s="3073">
        <f t="shared" si="0"/>
        <v>0</v>
      </c>
      <c r="D8" s="3073">
        <f t="shared" si="1"/>
        <v>0</v>
      </c>
      <c r="E8" s="3074"/>
      <c r="F8" s="3074"/>
    </row>
    <row r="9" spans="1:9" ht="16.5">
      <c r="A9" s="3073" t="s">
        <v>2861</v>
      </c>
      <c r="B9" s="3076"/>
      <c r="C9" s="3074"/>
      <c r="D9" s="3074"/>
      <c r="E9" s="3074"/>
      <c r="F9" s="3074"/>
    </row>
    <row r="10" spans="1:9" ht="16.5">
      <c r="A10" s="3073" t="s">
        <v>2862</v>
      </c>
      <c r="B10" s="3076"/>
      <c r="C10" s="3074"/>
      <c r="D10" s="3074"/>
      <c r="E10" s="3074"/>
      <c r="F10" s="3074"/>
    </row>
    <row r="11" spans="1:9" ht="16.5">
      <c r="A11" s="3073" t="s">
        <v>2879</v>
      </c>
      <c r="B11" s="3076"/>
      <c r="C11" s="3074"/>
      <c r="D11" s="3074"/>
      <c r="E11" s="3074"/>
      <c r="F11" s="3074"/>
    </row>
    <row r="12" spans="1:9" ht="16.5">
      <c r="A12" s="3074"/>
      <c r="B12" s="3074"/>
      <c r="C12" s="3074"/>
      <c r="D12" s="3074"/>
      <c r="E12" s="3074"/>
      <c r="F12" s="3074"/>
    </row>
    <row r="13" spans="1:9" ht="33">
      <c r="A13" s="3079" t="s">
        <v>2878</v>
      </c>
      <c r="B13" s="3077" t="s">
        <v>2850</v>
      </c>
      <c r="C13" s="3077" t="s">
        <v>2851</v>
      </c>
      <c r="D13" s="3077" t="s">
        <v>2863</v>
      </c>
      <c r="E13" s="3073" t="s">
        <v>2877</v>
      </c>
      <c r="F13" s="3073" t="s">
        <v>2856</v>
      </c>
      <c r="G13" s="3077" t="s">
        <v>2864</v>
      </c>
      <c r="H13" s="3077" t="s">
        <v>2865</v>
      </c>
      <c r="I13" s="3077" t="s">
        <v>2866</v>
      </c>
    </row>
    <row r="14" spans="1:9" ht="16.5">
      <c r="A14" s="3080" t="s">
        <v>2876</v>
      </c>
      <c r="B14" s="3077">
        <f>结果表!L38</f>
        <v>8000.25</v>
      </c>
      <c r="C14" s="3077">
        <f>结果表!K38</f>
        <v>10667</v>
      </c>
      <c r="D14" s="3077">
        <f ca="1">结果表!C42</f>
        <v>7528</v>
      </c>
      <c r="E14" s="3077">
        <f ca="1">ROUND(D14*10000/B14,0)</f>
        <v>9410</v>
      </c>
      <c r="F14" s="3077">
        <f ca="1">ROUND(D14*10000/C14,0)</f>
        <v>7057</v>
      </c>
      <c r="G14" s="3077">
        <f ca="1">结果表!C44</f>
        <v>7528</v>
      </c>
      <c r="H14" s="3077" t="str">
        <f>结果表!C45</f>
        <v>——</v>
      </c>
      <c r="I14" s="3077" t="str">
        <f>结果表!C46</f>
        <v>——</v>
      </c>
    </row>
    <row r="15" spans="1:9" ht="16.5">
      <c r="A15" s="3080" t="s">
        <v>2867</v>
      </c>
      <c r="B15" s="3081"/>
      <c r="C15" s="3081"/>
      <c r="D15" s="3081"/>
      <c r="E15" s="3077" t="e">
        <f t="shared" ref="E15:E23" si="2">ROUND(D15*10000/B15,0)</f>
        <v>#DIV/0!</v>
      </c>
      <c r="F15" s="3077" t="e">
        <f t="shared" ref="F15:F23" si="3">ROUND(D15*10000/C15,0)</f>
        <v>#DIV/0!</v>
      </c>
      <c r="G15" s="3078">
        <f>D15</f>
        <v>0</v>
      </c>
      <c r="H15" s="3078"/>
      <c r="I15" s="3081"/>
    </row>
    <row r="16" spans="1:9" ht="16.5">
      <c r="A16" s="3080" t="s">
        <v>2868</v>
      </c>
      <c r="B16" s="3081"/>
      <c r="C16" s="3081"/>
      <c r="D16" s="3081"/>
      <c r="E16" s="3077" t="e">
        <f t="shared" si="2"/>
        <v>#DIV/0!</v>
      </c>
      <c r="F16" s="3077" t="e">
        <f t="shared" si="3"/>
        <v>#DIV/0!</v>
      </c>
      <c r="G16" s="3078"/>
      <c r="H16" s="3078"/>
      <c r="I16" s="3081"/>
    </row>
    <row r="17" spans="1:9" ht="16.5">
      <c r="A17" s="3080" t="s">
        <v>2869</v>
      </c>
      <c r="B17" s="3081"/>
      <c r="C17" s="3081"/>
      <c r="D17" s="3081"/>
      <c r="E17" s="3077" t="e">
        <f t="shared" si="2"/>
        <v>#DIV/0!</v>
      </c>
      <c r="F17" s="3077" t="e">
        <f t="shared" si="3"/>
        <v>#DIV/0!</v>
      </c>
      <c r="G17" s="3078"/>
      <c r="H17" s="3078"/>
      <c r="I17" s="3081"/>
    </row>
    <row r="18" spans="1:9" ht="16.5">
      <c r="A18" s="3080" t="s">
        <v>2870</v>
      </c>
      <c r="B18" s="3081"/>
      <c r="C18" s="3081"/>
      <c r="D18" s="3081"/>
      <c r="E18" s="3077" t="e">
        <f t="shared" si="2"/>
        <v>#DIV/0!</v>
      </c>
      <c r="F18" s="3077" t="e">
        <f t="shared" si="3"/>
        <v>#DIV/0!</v>
      </c>
      <c r="G18" s="3081"/>
      <c r="H18" s="3081"/>
      <c r="I18" s="3081"/>
    </row>
    <row r="19" spans="1:9" ht="16.5">
      <c r="A19" s="3080" t="s">
        <v>2871</v>
      </c>
      <c r="B19" s="3081"/>
      <c r="C19" s="3081"/>
      <c r="D19" s="3081"/>
      <c r="E19" s="3077" t="e">
        <f t="shared" si="2"/>
        <v>#DIV/0!</v>
      </c>
      <c r="F19" s="3077" t="e">
        <f t="shared" si="3"/>
        <v>#DIV/0!</v>
      </c>
      <c r="G19" s="3081"/>
      <c r="H19" s="3081"/>
      <c r="I19" s="3081"/>
    </row>
    <row r="20" spans="1:9" ht="16.5">
      <c r="A20" s="3080" t="s">
        <v>2872</v>
      </c>
      <c r="B20" s="3081"/>
      <c r="C20" s="3081"/>
      <c r="D20" s="3081"/>
      <c r="E20" s="3077" t="e">
        <f t="shared" si="2"/>
        <v>#DIV/0!</v>
      </c>
      <c r="F20" s="3077" t="e">
        <f t="shared" si="3"/>
        <v>#DIV/0!</v>
      </c>
      <c r="G20" s="3081"/>
      <c r="H20" s="3081"/>
      <c r="I20" s="3081"/>
    </row>
    <row r="21" spans="1:9" ht="16.5">
      <c r="A21" s="3080" t="s">
        <v>2873</v>
      </c>
      <c r="B21" s="3081"/>
      <c r="C21" s="3081"/>
      <c r="D21" s="3081"/>
      <c r="E21" s="3077" t="e">
        <f t="shared" si="2"/>
        <v>#DIV/0!</v>
      </c>
      <c r="F21" s="3077" t="e">
        <f t="shared" si="3"/>
        <v>#DIV/0!</v>
      </c>
      <c r="G21" s="3081"/>
      <c r="H21" s="3081"/>
      <c r="I21" s="3081"/>
    </row>
    <row r="22" spans="1:9" ht="16.5">
      <c r="A22" s="3080" t="s">
        <v>2874</v>
      </c>
      <c r="B22" s="3081"/>
      <c r="C22" s="3081"/>
      <c r="D22" s="3081"/>
      <c r="E22" s="3077" t="e">
        <f t="shared" si="2"/>
        <v>#DIV/0!</v>
      </c>
      <c r="F22" s="3077" t="e">
        <f t="shared" si="3"/>
        <v>#DIV/0!</v>
      </c>
      <c r="G22" s="3081"/>
      <c r="H22" s="3081"/>
      <c r="I22" s="3081"/>
    </row>
    <row r="23" spans="1:9" ht="16.5">
      <c r="A23" s="3080" t="s">
        <v>2875</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3124</v>
      </c>
      <c r="E1" s="1806" t="s">
        <v>2060</v>
      </c>
      <c r="F1" s="1808" t="s">
        <v>3125</v>
      </c>
      <c r="G1" s="311"/>
      <c r="H1" s="311"/>
      <c r="I1" s="311"/>
      <c r="J1" s="2030"/>
      <c r="K1" s="2030"/>
      <c r="L1" s="2030"/>
      <c r="M1" s="2030"/>
      <c r="N1" s="2030"/>
      <c r="O1" s="2030"/>
      <c r="P1" s="2030"/>
      <c r="Q1" s="2030"/>
      <c r="R1" s="2030"/>
      <c r="S1" s="2030"/>
      <c r="T1" s="2030"/>
      <c r="U1" s="2030"/>
      <c r="V1" s="2030"/>
    </row>
    <row r="2" spans="1:22" ht="21.75" customHeight="1" thickBot="1">
      <c r="A2" s="3306" t="str">
        <f>项目基本情况!K2</f>
        <v>浙江省杭州市富阳区银湖街道大山脚村出让国有建设用地使用权</v>
      </c>
      <c r="B2" s="3307"/>
      <c r="C2" s="3308"/>
      <c r="D2" s="3308"/>
      <c r="E2" s="3308"/>
      <c r="F2" s="3308"/>
      <c r="G2" s="3307"/>
      <c r="H2" s="3307"/>
      <c r="I2" s="3309"/>
      <c r="J2" s="2031"/>
      <c r="K2" s="2030"/>
      <c r="L2" s="2030"/>
      <c r="M2" s="2030"/>
      <c r="N2" s="2030"/>
      <c r="O2" s="2030"/>
      <c r="P2" s="2030"/>
      <c r="Q2" s="2030"/>
      <c r="R2" s="2030"/>
      <c r="S2" s="2030"/>
      <c r="T2" s="2030"/>
      <c r="U2" s="2030"/>
      <c r="V2" s="2030"/>
    </row>
    <row r="3" spans="1:22" ht="14.25">
      <c r="A3" s="3299" t="s">
        <v>298</v>
      </c>
      <c r="B3" s="3300"/>
      <c r="C3" s="3300"/>
      <c r="D3" s="3300"/>
      <c r="E3" s="3300"/>
      <c r="F3" s="3300"/>
      <c r="G3" s="3300"/>
      <c r="H3" s="3300"/>
      <c r="I3" s="3300"/>
      <c r="J3" s="2031"/>
      <c r="K3" s="2030"/>
      <c r="L3" s="2030"/>
      <c r="M3" s="2030"/>
      <c r="N3" s="2030"/>
      <c r="O3" s="2030"/>
      <c r="P3" s="2030"/>
      <c r="Q3" s="2030"/>
      <c r="R3" s="2030"/>
      <c r="S3" s="2030"/>
      <c r="T3" s="2030"/>
      <c r="U3" s="2030"/>
      <c r="V3" s="2030"/>
    </row>
    <row r="4" spans="1:22" ht="14.25">
      <c r="A4" s="258" t="s">
        <v>299</v>
      </c>
      <c r="B4" s="259" t="s">
        <v>300</v>
      </c>
      <c r="C4" s="260" t="s">
        <v>3126</v>
      </c>
      <c r="D4" s="260" t="s">
        <v>3127</v>
      </c>
      <c r="E4" s="3271" t="s">
        <v>301</v>
      </c>
      <c r="F4" s="3272"/>
      <c r="G4" s="3272"/>
      <c r="H4" s="3272"/>
      <c r="I4" s="330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0" t="s">
        <v>302</v>
      </c>
      <c r="B5" s="3296">
        <v>25</v>
      </c>
      <c r="C5" s="3294"/>
      <c r="D5" s="3298"/>
      <c r="E5" s="261" t="s">
        <v>303</v>
      </c>
      <c r="F5" s="262"/>
      <c r="G5" s="262"/>
      <c r="H5" s="262"/>
      <c r="I5" s="263"/>
      <c r="J5" s="2031"/>
      <c r="K5" s="2030"/>
      <c r="L5" s="2030"/>
      <c r="M5" s="2030"/>
      <c r="N5" s="2030"/>
      <c r="O5" s="2030"/>
      <c r="P5" s="2030"/>
      <c r="Q5" s="2030"/>
      <c r="R5" s="2030"/>
      <c r="S5" s="2030"/>
      <c r="T5" s="2030"/>
      <c r="U5" s="2030"/>
      <c r="V5" s="2030"/>
    </row>
    <row r="6" spans="1:22" ht="14.25">
      <c r="A6" s="3270"/>
      <c r="B6" s="3296"/>
      <c r="C6" s="3297"/>
      <c r="D6" s="3298"/>
      <c r="E6" s="261" t="s">
        <v>304</v>
      </c>
      <c r="F6" s="262"/>
      <c r="G6" s="262"/>
      <c r="H6" s="262"/>
      <c r="I6" s="263"/>
      <c r="J6" s="2031"/>
      <c r="K6" s="2030"/>
      <c r="L6" s="2030"/>
      <c r="M6" s="2030"/>
      <c r="N6" s="2030"/>
      <c r="O6" s="2030"/>
      <c r="P6" s="2030"/>
      <c r="Q6" s="2030"/>
      <c r="R6" s="2030"/>
      <c r="S6" s="2030"/>
      <c r="T6" s="2030"/>
      <c r="U6" s="2030"/>
      <c r="V6" s="2030"/>
    </row>
    <row r="7" spans="1:22" ht="14.25">
      <c r="A7" s="3270"/>
      <c r="B7" s="3296"/>
      <c r="C7" s="3295"/>
      <c r="D7" s="3298"/>
      <c r="E7" s="261" t="s">
        <v>305</v>
      </c>
      <c r="F7" s="262"/>
      <c r="G7" s="262"/>
      <c r="H7" s="262"/>
      <c r="I7" s="263"/>
      <c r="J7" s="2031"/>
      <c r="K7" s="2030"/>
      <c r="L7" s="2030"/>
      <c r="M7" s="2030"/>
      <c r="N7" s="2030"/>
      <c r="O7" s="2030"/>
      <c r="P7" s="2030"/>
      <c r="Q7" s="2030"/>
      <c r="R7" s="2030"/>
      <c r="S7" s="2030"/>
      <c r="T7" s="2030"/>
      <c r="U7" s="2030"/>
      <c r="V7" s="2030"/>
    </row>
    <row r="8" spans="1:22" ht="14.25">
      <c r="A8" s="3270" t="s">
        <v>306</v>
      </c>
      <c r="B8" s="3296">
        <v>15</v>
      </c>
      <c r="C8" s="3294"/>
      <c r="D8" s="3298"/>
      <c r="E8" s="261" t="s">
        <v>307</v>
      </c>
      <c r="F8" s="262"/>
      <c r="G8" s="262"/>
      <c r="H8" s="262"/>
      <c r="I8" s="263"/>
      <c r="J8" s="2031"/>
      <c r="K8" s="2030"/>
      <c r="L8" s="2030"/>
      <c r="M8" s="2030"/>
      <c r="N8" s="2030"/>
      <c r="O8" s="2030"/>
      <c r="P8" s="2030"/>
      <c r="Q8" s="2030"/>
      <c r="R8" s="2030"/>
      <c r="S8" s="2030"/>
      <c r="T8" s="2030"/>
      <c r="U8" s="2030"/>
      <c r="V8" s="2030"/>
    </row>
    <row r="9" spans="1:22" ht="14.25">
      <c r="A9" s="3270"/>
      <c r="B9" s="3296"/>
      <c r="C9" s="3295"/>
      <c r="D9" s="3298"/>
      <c r="E9" s="261" t="s">
        <v>308</v>
      </c>
      <c r="F9" s="262"/>
      <c r="G9" s="262"/>
      <c r="H9" s="262"/>
      <c r="I9" s="263"/>
      <c r="J9" s="2031"/>
      <c r="K9" s="2030"/>
      <c r="L9" s="2030"/>
      <c r="M9" s="2030"/>
      <c r="N9" s="2030"/>
      <c r="O9" s="2030"/>
      <c r="P9" s="2030"/>
      <c r="Q9" s="2030"/>
      <c r="R9" s="2030"/>
      <c r="S9" s="2030"/>
      <c r="T9" s="2030"/>
      <c r="U9" s="2030"/>
      <c r="V9" s="2030"/>
    </row>
    <row r="10" spans="1:22" ht="14.25">
      <c r="A10" s="3270" t="s">
        <v>309</v>
      </c>
      <c r="B10" s="3296">
        <v>15</v>
      </c>
      <c r="C10" s="3294"/>
      <c r="D10" s="3298"/>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0"/>
      <c r="B11" s="3296"/>
      <c r="C11" s="3295"/>
      <c r="D11" s="3298"/>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0" t="s">
        <v>312</v>
      </c>
      <c r="B12" s="3296">
        <v>15</v>
      </c>
      <c r="C12" s="3294"/>
      <c r="D12" s="3298"/>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0"/>
      <c r="B13" s="3296"/>
      <c r="C13" s="3295"/>
      <c r="D13" s="3298"/>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0" t="s">
        <v>315</v>
      </c>
      <c r="B14" s="3296">
        <v>30</v>
      </c>
      <c r="C14" s="3294">
        <v>0.5</v>
      </c>
      <c r="D14" s="3298">
        <f>1-C14</f>
        <v>0.5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0"/>
      <c r="B15" s="3296"/>
      <c r="C15" s="3297"/>
      <c r="D15" s="3298"/>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0"/>
      <c r="B16" s="3296"/>
      <c r="C16" s="3295"/>
      <c r="D16" s="329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8128</v>
      </c>
      <c r="D19" s="271">
        <f ca="1">SUMIF(INDIRECT("'"&amp;D4&amp;"'"&amp;"!A:A"),结果表!B19,INDIRECT("'"&amp;D4&amp;"'"&amp;"!B:B"))</f>
        <v>6927</v>
      </c>
      <c r="E19" s="268" t="s">
        <v>323</v>
      </c>
      <c r="F19" s="269" t="s">
        <v>322</v>
      </c>
      <c r="G19" s="272">
        <f ca="1">ROUND(C19*$C$18+D19*$D$18,0)</f>
        <v>7528</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10160</v>
      </c>
      <c r="D20" s="277">
        <f ca="1">SUMIF(INDIRECT("'"&amp;D4&amp;"'"&amp;"!A:A"),结果表!B20,INDIRECT("'"&amp;D4&amp;"'"&amp;"!B:B"))</f>
        <v>8658</v>
      </c>
      <c r="E20" s="274"/>
      <c r="F20" s="275" t="s">
        <v>325</v>
      </c>
      <c r="G20" s="278">
        <f ca="1">ROUND(C20*$C$18+D20*$D$18,0)</f>
        <v>9409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7620</v>
      </c>
      <c r="D21" s="151">
        <f ca="1">SUMIF(INDIRECT("'"&amp;D4&amp;"'"&amp;"!A:A"),结果表!B21,INDIRECT("'"&amp;D4&amp;"'"&amp;"!B:B"))</f>
        <v>6494</v>
      </c>
      <c r="E21" s="274"/>
      <c r="F21" s="280" t="s">
        <v>327</v>
      </c>
      <c r="G21" s="282">
        <f ca="1">ROUND(C21*$C$18+D21*$D$18,0)</f>
        <v>7057</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0.1733795293777971</v>
      </c>
      <c r="E22" s="284"/>
      <c r="F22" s="285"/>
      <c r="G22" s="286">
        <f ca="1">ROUND(G19/('数据-汇总表'!D3/666.67),0)</f>
        <v>470</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7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77"/>
      <c r="B25" s="1321" t="s">
        <v>331</v>
      </c>
      <c r="C25" s="290">
        <f>IF(B30=0,0,C30)</f>
        <v>0</v>
      </c>
      <c r="D25" s="291"/>
      <c r="E25" s="311"/>
      <c r="F25" s="311"/>
      <c r="G25" s="311"/>
      <c r="H25" s="311"/>
      <c r="I25" s="311"/>
      <c r="J25" s="2030"/>
      <c r="K25" s="1255" t="str">
        <f ca="1">项目基本情况!B16&amp;"国有建设用地使用权价格："&amp;O38&amp;"万元"</f>
        <v>出让国有建设用地使用权价格：7528万元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大写金额：人民币柒仟伍佰贰拾捌万元整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单位面积地价：7057元/平方米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楼面地价：9410元/平方米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抵押价格：7528万元</v>
      </c>
      <c r="L29" s="1252"/>
      <c r="M29" s="1252"/>
      <c r="N29" s="1252"/>
      <c r="O29" s="1251"/>
      <c r="P29" s="2030"/>
      <c r="V29" s="2030"/>
    </row>
    <row r="30" spans="1:26" ht="18.75" thickBot="1">
      <c r="A30" s="3164" t="s">
        <v>336</v>
      </c>
      <c r="B30" s="309"/>
      <c r="C30" s="309"/>
      <c r="D30" s="310"/>
      <c r="E30" s="3165" t="s">
        <v>2976</v>
      </c>
      <c r="F30" s="311"/>
      <c r="G30" s="311"/>
      <c r="H30" s="311"/>
      <c r="I30" s="311"/>
      <c r="J30" s="2030"/>
      <c r="K30" s="1258" t="str">
        <f ca="1">IF(K29="——","——","大写金额：人民币"&amp;NUMBERSTRING(INT(O39*10000),2)&amp;"元整")</f>
        <v>大写金额：人民币柒仟伍佰贰拾捌万元整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7528</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9410</v>
      </c>
      <c r="D33" s="1386" t="s">
        <v>1693</v>
      </c>
      <c r="E33" s="327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7057</v>
      </c>
      <c r="D34" s="1388" t="s">
        <v>1693</v>
      </c>
      <c r="E34" s="331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470</v>
      </c>
      <c r="D35" s="1391" t="s">
        <v>1695</v>
      </c>
      <c r="E35" s="3318"/>
      <c r="F35" s="301" t="s">
        <v>342</v>
      </c>
      <c r="G35" s="982"/>
      <c r="H35" s="981" t="s">
        <v>343</v>
      </c>
      <c r="I35" s="311"/>
      <c r="J35" s="2030"/>
      <c r="K35" s="3291" t="s">
        <v>350</v>
      </c>
      <c r="L35" s="3291" t="s">
        <v>351</v>
      </c>
      <c r="M35" s="1264" t="s">
        <v>352</v>
      </c>
      <c r="N35" s="3291" t="s">
        <v>353</v>
      </c>
      <c r="O35" s="3291" t="s">
        <v>354</v>
      </c>
      <c r="P35" s="2030"/>
      <c r="V35" s="2030"/>
    </row>
    <row r="36" spans="1:26" ht="16.5" customHeight="1">
      <c r="A36" s="303" t="s">
        <v>344</v>
      </c>
      <c r="B36" s="304" t="s">
        <v>333</v>
      </c>
      <c r="C36" s="305" t="s">
        <v>345</v>
      </c>
      <c r="D36" s="305" t="s">
        <v>346</v>
      </c>
      <c r="E36" s="306" t="s">
        <v>347</v>
      </c>
      <c r="F36" s="311"/>
      <c r="G36" s="311"/>
      <c r="H36" s="311"/>
      <c r="I36" s="311"/>
      <c r="J36" s="2032"/>
      <c r="K36" s="3292"/>
      <c r="L36" s="3292"/>
      <c r="M36" s="1266" t="s">
        <v>355</v>
      </c>
      <c r="N36" s="3292"/>
      <c r="O36" s="3292"/>
      <c r="P36" s="2030"/>
      <c r="V36" s="2030"/>
    </row>
    <row r="37" spans="1:26" ht="16.5" customHeight="1" thickBot="1">
      <c r="A37" s="1260" t="s">
        <v>348</v>
      </c>
      <c r="B37" s="307"/>
      <c r="C37" s="294"/>
      <c r="D37" s="294"/>
      <c r="E37" s="295"/>
      <c r="F37" s="311"/>
      <c r="G37" s="311"/>
      <c r="H37" s="311"/>
      <c r="I37" s="311"/>
      <c r="J37" s="2032"/>
      <c r="K37" s="3293"/>
      <c r="L37" s="3293"/>
      <c r="M37" s="1267"/>
      <c r="N37" s="3293"/>
      <c r="O37" s="3293"/>
      <c r="P37" s="2030"/>
      <c r="V37" s="2030"/>
    </row>
    <row r="38" spans="1:26" ht="16.5" customHeight="1" thickBot="1">
      <c r="A38" s="1260" t="s">
        <v>349</v>
      </c>
      <c r="B38" s="307"/>
      <c r="C38" s="294"/>
      <c r="D38" s="294"/>
      <c r="E38" s="295"/>
      <c r="F38" s="311"/>
      <c r="G38" s="311"/>
      <c r="H38" s="311"/>
      <c r="I38" s="311"/>
      <c r="J38" s="2032"/>
      <c r="K38" s="1268">
        <f>'数据-汇总表'!D3</f>
        <v>10667</v>
      </c>
      <c r="L38" s="1269">
        <f>'数据-汇总表'!E3</f>
        <v>8000.25</v>
      </c>
      <c r="M38" s="1269">
        <f ca="1">C34</f>
        <v>7057</v>
      </c>
      <c r="N38" s="1269">
        <f ca="1">C33</f>
        <v>9410</v>
      </c>
      <c r="O38" s="1270">
        <f ca="1">C32</f>
        <v>7528</v>
      </c>
      <c r="P38" s="2030"/>
      <c r="V38" s="2030"/>
    </row>
    <row r="39" spans="1:26" ht="16.5" customHeight="1" thickBot="1">
      <c r="A39" s="1265"/>
      <c r="B39" s="308"/>
      <c r="C39" s="309"/>
      <c r="D39" s="309"/>
      <c r="E39" s="310"/>
      <c r="F39" s="311"/>
      <c r="G39" s="311"/>
      <c r="H39" s="311"/>
      <c r="I39" s="311"/>
      <c r="J39" s="2032"/>
      <c r="K39" s="3336" t="str">
        <f>MID(A44,3,LEN(A44)-2)</f>
        <v>抵押价格</v>
      </c>
      <c r="L39" s="3337"/>
      <c r="M39" s="3337"/>
      <c r="N39" s="3338"/>
      <c r="O39" s="1393">
        <f ca="1">C44</f>
        <v>7528</v>
      </c>
      <c r="P39" s="2030"/>
      <c r="V39" s="2030"/>
    </row>
    <row r="40" spans="1:26" ht="19.5" thickBot="1">
      <c r="A40" s="104" t="s">
        <v>874</v>
      </c>
      <c r="B40" s="311"/>
      <c r="C40" s="311"/>
      <c r="D40" s="311"/>
      <c r="E40" s="311"/>
      <c r="F40" s="311"/>
      <c r="G40" s="311"/>
      <c r="H40" s="311"/>
      <c r="I40" s="311"/>
      <c r="J40" s="2032"/>
      <c r="K40" s="3336" t="str">
        <f t="shared" ref="K40:K41" si="0">MID(A45,3,LEN(A45)-2)</f>
        <v/>
      </c>
      <c r="L40" s="3337"/>
      <c r="M40" s="3337"/>
      <c r="N40" s="3338"/>
      <c r="O40" s="1393" t="str">
        <f>C45</f>
        <v>——</v>
      </c>
      <c r="P40" s="2030"/>
      <c r="V40" s="2030"/>
    </row>
    <row r="41" spans="1:26" ht="16.5" thickBot="1">
      <c r="A41" s="312" t="s">
        <v>356</v>
      </c>
      <c r="B41" s="313"/>
      <c r="C41" s="314" t="s">
        <v>357</v>
      </c>
      <c r="D41" s="315" t="s">
        <v>358</v>
      </c>
      <c r="E41" s="315" t="s">
        <v>359</v>
      </c>
      <c r="F41" s="316" t="s">
        <v>360</v>
      </c>
      <c r="G41" s="311"/>
      <c r="H41" s="311"/>
      <c r="I41" s="311"/>
      <c r="J41" s="2032"/>
      <c r="K41" s="3336" t="str">
        <f t="shared" si="0"/>
        <v/>
      </c>
      <c r="L41" s="3337"/>
      <c r="M41" s="3337"/>
      <c r="N41" s="3338"/>
      <c r="O41" s="1393" t="str">
        <f>C46</f>
        <v>——</v>
      </c>
      <c r="P41" s="2030"/>
      <c r="V41" s="2030"/>
    </row>
    <row r="42" spans="1:26" ht="29.25">
      <c r="A42" s="3278" t="s">
        <v>2070</v>
      </c>
      <c r="B42" s="3279"/>
      <c r="C42" s="264">
        <f ca="1">C32</f>
        <v>7528</v>
      </c>
      <c r="D42" s="317">
        <f ca="1">C33</f>
        <v>9410</v>
      </c>
      <c r="E42" s="317">
        <f ca="1">C34</f>
        <v>7057</v>
      </c>
      <c r="F42" s="318">
        <f ca="1">C35</f>
        <v>470</v>
      </c>
      <c r="G42" s="311"/>
      <c r="H42" s="311"/>
      <c r="I42" s="319"/>
      <c r="J42" s="2032"/>
      <c r="K42" s="1271" t="s">
        <v>361</v>
      </c>
      <c r="L42" s="2049" t="s">
        <v>362</v>
      </c>
      <c r="M42" s="1272" t="s">
        <v>363</v>
      </c>
      <c r="N42" s="2050" t="s">
        <v>364</v>
      </c>
      <c r="O42" s="2051" t="s">
        <v>365</v>
      </c>
      <c r="P42" s="2030"/>
      <c r="V42" s="2030"/>
    </row>
    <row r="43" spans="1:26" ht="30">
      <c r="A43" s="3289" t="s">
        <v>2736</v>
      </c>
      <c r="B43" s="3290"/>
      <c r="C43" s="264">
        <f>IF(H33="正常操作",G33+G34+G35,G34+G35)</f>
        <v>0</v>
      </c>
      <c r="D43" s="317" t="s">
        <v>43</v>
      </c>
      <c r="E43" s="317" t="s">
        <v>44</v>
      </c>
      <c r="F43" s="318" t="s">
        <v>44</v>
      </c>
      <c r="G43" s="2894" t="s">
        <v>953</v>
      </c>
      <c r="H43" s="311"/>
      <c r="I43" s="319"/>
      <c r="J43" s="2032"/>
      <c r="K43" s="1273" t="str">
        <f>C4</f>
        <v>比较法-住宅、综合</v>
      </c>
      <c r="L43" s="1274">
        <f ca="1">IF(L42="估价结果/万元",C19,C20)</f>
        <v>8128</v>
      </c>
      <c r="M43" s="1275">
        <f>C18</f>
        <v>0.5</v>
      </c>
      <c r="N43" s="1276">
        <f ca="1">IF(N42="测算结果/万元",G19,G20)</f>
        <v>7528</v>
      </c>
      <c r="O43" s="1277">
        <f ca="1">IF(O42="最终结果/万元",C32,C33)</f>
        <v>7528</v>
      </c>
      <c r="P43" s="2030"/>
      <c r="V43" s="2030"/>
    </row>
    <row r="44" spans="1:26" ht="30.75" thickBot="1">
      <c r="A44" s="3278" t="str">
        <f>IF(OR(项目基本情况!E8="抵押价格",项目基本情况!E8="已注销及未注销"),"3.抵押价格","——")</f>
        <v>3.抵押价格</v>
      </c>
      <c r="B44" s="3279"/>
      <c r="C44" s="264">
        <f ca="1">IF(A44="——","——",C42-C43)</f>
        <v>7528</v>
      </c>
      <c r="D44" s="317">
        <f ca="1">ROUND(C44*10000/'数据-汇总表'!E3,0)</f>
        <v>9410</v>
      </c>
      <c r="E44" s="317">
        <f ca="1">ROUND(C44*10000/'数据-汇总表'!D3,0)</f>
        <v>7057</v>
      </c>
      <c r="F44" s="318">
        <f ca="1">ROUND(C44/('数据-汇总表'!D3/666.67),0)</f>
        <v>470</v>
      </c>
      <c r="G44" s="311"/>
      <c r="H44" s="311"/>
      <c r="I44" s="319"/>
      <c r="J44" s="2032"/>
      <c r="K44" s="1278" t="str">
        <f>D4</f>
        <v>剩余法-待开发</v>
      </c>
      <c r="L44" s="1279">
        <f ca="1">IF(L42="估价结果/万元",D19,D20)</f>
        <v>6927</v>
      </c>
      <c r="M44" s="1280">
        <f>D18</f>
        <v>0.5</v>
      </c>
      <c r="N44" s="1281"/>
      <c r="O44" s="1282"/>
      <c r="P44" s="2030"/>
      <c r="V44" s="2030"/>
    </row>
    <row r="45" spans="1:26" ht="15">
      <c r="A45" s="3284" t="str">
        <f>IF(项目基本情况!E8="已注销及未注销","4.抵押担保权已注销时的抵押价格",IF(项目基本情况!E8="已注销","3.抵押担保权已注销时的抵押价格","——"))</f>
        <v>——</v>
      </c>
      <c r="B45" s="328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0" t="str">
        <f>IF(项目基本情况!E9="抵押净值",IF(A45="——","4.抵押净值","5.抵押净值"),"——")</f>
        <v>——</v>
      </c>
      <c r="B46" s="328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5" t="s">
        <v>374</v>
      </c>
      <c r="B63" s="3326"/>
      <c r="C63" s="3327"/>
      <c r="D63" s="341">
        <f ca="1">ROUND(C42*F63,0)</f>
        <v>4517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86" t="s">
        <v>378</v>
      </c>
      <c r="B64" s="3287"/>
      <c r="C64" s="3287"/>
      <c r="D64" s="3287"/>
      <c r="E64" s="3287"/>
      <c r="F64" s="3287"/>
      <c r="G64" s="328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2" t="s">
        <v>386</v>
      </c>
      <c r="B66" s="3283"/>
      <c r="C66" s="3283"/>
      <c r="D66" s="261">
        <f ca="1">IF(H66="情况1",0,IF(H66="情况2",D70,IF(H66="情况3",D71,IF(H66="情况4",D72))))</f>
        <v>241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40" t="s">
        <v>385</v>
      </c>
      <c r="M66" s="3341"/>
      <c r="N66" s="2484"/>
      <c r="O66" s="2485"/>
      <c r="P66" s="2486"/>
      <c r="Q66" s="2030"/>
      <c r="R66" s="2030"/>
      <c r="S66" s="2030"/>
      <c r="T66" s="2030"/>
      <c r="U66" s="2030"/>
      <c r="V66" s="2030"/>
    </row>
    <row r="67" spans="1:22" ht="25.5" customHeight="1">
      <c r="A67" s="352" t="s">
        <v>390</v>
      </c>
      <c r="B67" s="3273" t="s">
        <v>391</v>
      </c>
      <c r="C67" s="3273"/>
      <c r="D67" s="353">
        <v>0</v>
      </c>
      <c r="E67" s="41" t="s">
        <v>392</v>
      </c>
      <c r="F67" s="62" t="s">
        <v>21</v>
      </c>
      <c r="G67" s="3328"/>
      <c r="H67" s="311"/>
      <c r="I67" s="1292"/>
      <c r="J67" s="2037"/>
      <c r="K67" s="1978">
        <v>2</v>
      </c>
      <c r="L67" s="3339" t="s">
        <v>389</v>
      </c>
      <c r="M67" s="3339"/>
      <c r="N67" s="1325">
        <f>'数据-取费表'!B2</f>
        <v>43074</v>
      </c>
      <c r="O67" s="1325"/>
      <c r="P67" s="1325"/>
      <c r="Q67" s="2030"/>
      <c r="R67" s="2030"/>
      <c r="S67" s="2030"/>
      <c r="T67" s="2030"/>
      <c r="U67" s="2030"/>
      <c r="V67" s="2030"/>
    </row>
    <row r="68" spans="1:22" ht="25.5" customHeight="1">
      <c r="A68" s="354"/>
      <c r="B68" s="3273" t="s">
        <v>394</v>
      </c>
      <c r="C68" s="3273"/>
      <c r="D68" s="355"/>
      <c r="E68" s="77"/>
      <c r="F68" s="356"/>
      <c r="G68" s="3329"/>
      <c r="H68" s="311"/>
      <c r="I68" s="1292"/>
      <c r="J68" s="2037"/>
      <c r="K68" s="1978">
        <v>3</v>
      </c>
      <c r="L68" s="3339" t="s">
        <v>393</v>
      </c>
      <c r="M68" s="3339"/>
      <c r="N68" s="1293">
        <f ca="1">C42</f>
        <v>7528</v>
      </c>
      <c r="O68" s="1293"/>
      <c r="P68" s="1293"/>
      <c r="Q68" s="2030"/>
      <c r="R68" s="2030"/>
      <c r="S68" s="2030"/>
      <c r="T68" s="2030"/>
      <c r="U68" s="2030"/>
      <c r="V68" s="2030"/>
    </row>
    <row r="69" spans="1:22" ht="12" customHeight="1">
      <c r="A69" s="357"/>
      <c r="B69" s="3273" t="s">
        <v>395</v>
      </c>
      <c r="C69" s="3273"/>
      <c r="D69" s="358"/>
      <c r="E69" s="73"/>
      <c r="F69" s="356"/>
      <c r="G69" s="3330"/>
      <c r="H69" s="311"/>
      <c r="I69" s="1292"/>
      <c r="J69" s="2037"/>
      <c r="K69" s="1294">
        <v>4</v>
      </c>
      <c r="L69" s="3344" t="s">
        <v>2889</v>
      </c>
      <c r="M69" s="3345"/>
      <c r="N69" s="1295">
        <f ca="1">C44</f>
        <v>7528</v>
      </c>
      <c r="O69" s="1295"/>
      <c r="P69" s="1295"/>
      <c r="Q69" s="2030"/>
      <c r="R69" s="2030"/>
      <c r="S69" s="2030"/>
      <c r="T69" s="2030"/>
      <c r="U69" s="2030"/>
      <c r="V69" s="2030"/>
    </row>
    <row r="70" spans="1:22" ht="24" customHeight="1">
      <c r="A70" s="359" t="s">
        <v>396</v>
      </c>
      <c r="B70" s="3273" t="s">
        <v>397</v>
      </c>
      <c r="C70" s="3273"/>
      <c r="D70" s="358">
        <f ca="1">ROUND(D63*'数据-取费表'!B41/(1+'数据-取费表'!C42),0)</f>
        <v>241</v>
      </c>
      <c r="E70" s="17" t="s">
        <v>398</v>
      </c>
      <c r="F70" s="360">
        <f>'数据-取费表'!B41</f>
        <v>5.6000000000000001E-2</v>
      </c>
      <c r="G70" s="361"/>
      <c r="H70" s="311"/>
      <c r="I70" s="1292"/>
      <c r="J70" s="2037"/>
      <c r="K70" s="3090"/>
      <c r="L70" s="3091"/>
      <c r="M70" s="3091"/>
      <c r="N70" s="3092" t="s">
        <v>2894</v>
      </c>
      <c r="O70" s="3091"/>
      <c r="P70" s="3093"/>
      <c r="Q70" s="2030"/>
      <c r="R70" s="2030"/>
      <c r="S70" s="2030"/>
      <c r="T70" s="2030"/>
      <c r="U70" s="2030"/>
      <c r="V70" s="2030"/>
    </row>
    <row r="71" spans="1:22" ht="12" customHeight="1">
      <c r="A71" s="359" t="s">
        <v>404</v>
      </c>
      <c r="B71" s="3274" t="s">
        <v>405</v>
      </c>
      <c r="C71" s="3275"/>
      <c r="D71" s="358">
        <f ca="1">ROUND(D63*'数据-取费表'!B41/(1+'数据-取费表'!C42),0)</f>
        <v>241</v>
      </c>
      <c r="E71" s="17" t="s">
        <v>398</v>
      </c>
      <c r="F71" s="360">
        <f>'数据-取费表'!B41</f>
        <v>5.6000000000000001E-2</v>
      </c>
      <c r="G71" s="361"/>
      <c r="H71" s="311"/>
      <c r="I71" s="1292"/>
      <c r="J71" s="2037"/>
      <c r="K71" s="3089" t="s">
        <v>399</v>
      </c>
      <c r="L71" s="3346" t="s">
        <v>400</v>
      </c>
      <c r="M71" s="3346"/>
      <c r="N71" s="3089" t="s">
        <v>401</v>
      </c>
      <c r="O71" s="3089" t="s">
        <v>402</v>
      </c>
      <c r="P71" s="3089" t="s">
        <v>403</v>
      </c>
      <c r="Q71" s="2030"/>
      <c r="R71" s="2030"/>
      <c r="S71" s="2030"/>
      <c r="T71" s="2030"/>
      <c r="U71" s="2030"/>
      <c r="V71" s="2030"/>
    </row>
    <row r="72" spans="1:22" ht="12" customHeight="1">
      <c r="A72" s="359" t="s">
        <v>407</v>
      </c>
      <c r="B72" s="3274" t="s">
        <v>408</v>
      </c>
      <c r="C72" s="3275"/>
      <c r="D72" s="358">
        <f ca="1">C86</f>
        <v>129</v>
      </c>
      <c r="E72" s="73" t="s">
        <v>409</v>
      </c>
      <c r="F72" s="360">
        <f>'数据-取费表'!B41</f>
        <v>5.6000000000000001E-2</v>
      </c>
      <c r="G72" s="361"/>
      <c r="H72" s="1298"/>
      <c r="I72" s="1292"/>
      <c r="J72" s="2037"/>
      <c r="K72" s="1978">
        <v>1</v>
      </c>
      <c r="L72" s="3321" t="s">
        <v>406</v>
      </c>
      <c r="M72" s="3321"/>
      <c r="N72" s="1296">
        <f ca="1">D66</f>
        <v>241</v>
      </c>
      <c r="O72" s="1861" t="str">
        <f>E66</f>
        <v>销售额×税（费）率</v>
      </c>
      <c r="P72" s="1297">
        <f>F66</f>
        <v>5.6000000000000001E-2</v>
      </c>
      <c r="Q72" s="2030"/>
      <c r="R72" s="2030"/>
      <c r="S72" s="2030"/>
      <c r="T72" s="2030"/>
      <c r="U72" s="2030"/>
      <c r="V72" s="2030"/>
    </row>
    <row r="73" spans="1:22" ht="24" customHeight="1">
      <c r="A73" s="3315" t="s">
        <v>411</v>
      </c>
      <c r="B73" s="3283"/>
      <c r="C73" s="3283"/>
      <c r="D73" s="362">
        <f>IF(H73="个人住宅",0,ROUND(D63*I73,0))</f>
        <v>0</v>
      </c>
      <c r="E73" s="17" t="s">
        <v>412</v>
      </c>
      <c r="F73" s="360" t="str">
        <f>IF(H73="正常",I73,"免征")</f>
        <v>免征</v>
      </c>
      <c r="G73" s="361"/>
      <c r="H73" s="191" t="s">
        <v>2459</v>
      </c>
      <c r="I73" s="360">
        <f>'数据-取费表'!B49</f>
        <v>5.0000000000000001E-4</v>
      </c>
      <c r="J73" s="2037"/>
      <c r="K73" s="1978">
        <v>2</v>
      </c>
      <c r="L73" s="3321" t="s">
        <v>410</v>
      </c>
      <c r="M73" s="3321"/>
      <c r="N73" s="1296">
        <f t="shared" ref="N73:P74" si="1">D73</f>
        <v>0</v>
      </c>
      <c r="O73" s="1861" t="str">
        <f t="shared" si="1"/>
        <v>销售额×税（费）率</v>
      </c>
      <c r="P73" s="1297" t="str">
        <f t="shared" si="1"/>
        <v>免征</v>
      </c>
      <c r="Q73" s="2030"/>
      <c r="R73" s="2030"/>
      <c r="S73" s="2030"/>
      <c r="T73" s="2030"/>
      <c r="U73" s="2030"/>
      <c r="V73" s="2030"/>
    </row>
    <row r="74" spans="1:22" ht="24.75">
      <c r="A74" s="3315" t="s">
        <v>415</v>
      </c>
      <c r="B74" s="3283"/>
      <c r="C74" s="3283"/>
      <c r="D74" s="362">
        <f ca="1">IF(H74="个人住宅",D75,D76)</f>
        <v>1901</v>
      </c>
      <c r="E74" s="17" t="s">
        <v>416</v>
      </c>
      <c r="F74" s="360" t="str">
        <f>IF(H74="正常",F76,"免征")</f>
        <v>——</v>
      </c>
      <c r="G74" s="983" t="s">
        <v>417</v>
      </c>
      <c r="H74" s="363" t="s">
        <v>413</v>
      </c>
      <c r="I74" s="42"/>
      <c r="J74" s="2037"/>
      <c r="K74" s="1978">
        <v>3</v>
      </c>
      <c r="L74" s="3321" t="s">
        <v>414</v>
      </c>
      <c r="M74" s="3321"/>
      <c r="N74" s="1296">
        <f t="shared" ca="1" si="1"/>
        <v>1901</v>
      </c>
      <c r="O74" s="1861" t="str">
        <f t="shared" si="1"/>
        <v>增值额×税（费）率</v>
      </c>
      <c r="P74" s="1299" t="str">
        <f t="shared" si="1"/>
        <v>——</v>
      </c>
      <c r="Q74" s="2030"/>
      <c r="R74" s="2030"/>
      <c r="S74" s="2030"/>
      <c r="T74" s="2030"/>
      <c r="U74" s="2030"/>
      <c r="V74" s="2030"/>
    </row>
    <row r="75" spans="1:22" ht="24">
      <c r="A75" s="359" t="s">
        <v>418</v>
      </c>
      <c r="B75" s="3271" t="s">
        <v>419</v>
      </c>
      <c r="C75" s="3301"/>
      <c r="D75" s="364">
        <v>0</v>
      </c>
      <c r="E75" s="41" t="s">
        <v>420</v>
      </c>
      <c r="F75" s="365"/>
      <c r="G75" s="361"/>
      <c r="H75" s="42"/>
      <c r="I75" s="42"/>
      <c r="J75" s="2037"/>
      <c r="K75" s="3082">
        <f>IF(H77="非个人房产","",4)</f>
        <v>4</v>
      </c>
      <c r="L75" s="3321" t="str">
        <f>IF(H77="非个人房产","——","个人所得税")</f>
        <v>个人所得税</v>
      </c>
      <c r="M75" s="3321"/>
      <c r="N75" s="1300">
        <f ca="1">D77</f>
        <v>45</v>
      </c>
      <c r="O75" s="1874" t="str">
        <f>E77</f>
        <v>销售额×税（费）率</v>
      </c>
      <c r="P75" s="1301">
        <f>F77</f>
        <v>0.01</v>
      </c>
      <c r="Q75" s="2030"/>
      <c r="R75" s="2030"/>
      <c r="S75" s="2030"/>
      <c r="T75" s="2030"/>
      <c r="U75" s="2030"/>
      <c r="V75" s="2030"/>
    </row>
    <row r="76" spans="1:22" ht="24.75">
      <c r="A76" s="359" t="s">
        <v>396</v>
      </c>
      <c r="B76" s="3271" t="s">
        <v>422</v>
      </c>
      <c r="C76" s="3272"/>
      <c r="D76" s="362">
        <f ca="1">IF(H76="转让取得",C99,C115)</f>
        <v>1901</v>
      </c>
      <c r="E76" s="17" t="s">
        <v>423</v>
      </c>
      <c r="F76" s="53" t="s">
        <v>21</v>
      </c>
      <c r="G76" s="361"/>
      <c r="H76" s="363" t="s">
        <v>424</v>
      </c>
      <c r="I76" s="42"/>
      <c r="J76" s="2037"/>
      <c r="K76" s="3082" t="str">
        <f>IF(项目基本情况!K6="上海银行",IF(K75="",4,K75+1),"")</f>
        <v/>
      </c>
      <c r="L76" s="3332" t="str">
        <f>IF(项目基本情况!K6="上海银行","其他处置费用","")</f>
        <v/>
      </c>
      <c r="M76" s="3333"/>
      <c r="N76" s="1296" t="str">
        <f>IF(项目基本情况!K6="上海银行",N89,"")</f>
        <v/>
      </c>
      <c r="O76" s="3334" t="str">
        <f>IF(项目基本情况!K6="上海银行","包含处置中涉及的律师、诉讼、拍卖、评估等费用","")</f>
        <v/>
      </c>
      <c r="P76" s="3335"/>
      <c r="Q76" s="2030"/>
      <c r="R76" s="2030"/>
      <c r="S76" s="2030"/>
      <c r="T76" s="2030"/>
      <c r="U76" s="2030"/>
      <c r="V76" s="2030"/>
    </row>
    <row r="77" spans="1:22" ht="26.25" thickBot="1">
      <c r="A77" s="3323" t="s">
        <v>426</v>
      </c>
      <c r="B77" s="3324"/>
      <c r="C77" s="3324"/>
      <c r="D77" s="366">
        <f ca="1">IF(H77="非个人房产","——",IF(H77="个人住宅",0,ROUND(D63*I77,0)))</f>
        <v>45</v>
      </c>
      <c r="E77" s="367" t="str">
        <f>IF(H77="非个人房产","——","销售额×税（费）率")</f>
        <v>销售额×税（费）率</v>
      </c>
      <c r="F77" s="368">
        <f>IF(H77="非个人房产","——",IF(H77="个人住宅","免征",I77))</f>
        <v>0.01</v>
      </c>
      <c r="G77" s="984" t="s">
        <v>417</v>
      </c>
      <c r="H77" s="363" t="s">
        <v>2890</v>
      </c>
      <c r="I77" s="369">
        <v>0.01</v>
      </c>
      <c r="J77" s="2037"/>
      <c r="K77" s="3322">
        <f>IF(AND(K75="",K76=""),4,IF(项目基本情况!K6="上海银行",K76+1,K75+1))</f>
        <v>5</v>
      </c>
      <c r="L77" s="3321" t="s">
        <v>2891</v>
      </c>
      <c r="M77" s="3088" t="s">
        <v>421</v>
      </c>
      <c r="N77" s="1302"/>
      <c r="O77" s="1303">
        <f ca="1">SUMIF(N72:N76,"&lt;9e307")</f>
        <v>2187</v>
      </c>
      <c r="P77" s="1304"/>
      <c r="Q77" s="3086">
        <f ca="1">O77/N69</f>
        <v>0.29051540913921359</v>
      </c>
      <c r="R77" s="2030"/>
      <c r="S77" s="2030"/>
      <c r="T77" s="2030"/>
      <c r="U77" s="2030"/>
      <c r="V77" s="2030"/>
    </row>
    <row r="78" spans="1:22" ht="12" customHeight="1">
      <c r="A78" s="1305"/>
      <c r="B78" s="311"/>
      <c r="C78" s="311"/>
      <c r="D78" s="311"/>
      <c r="E78" s="42"/>
      <c r="F78" s="42"/>
      <c r="G78" s="42"/>
      <c r="H78" s="1003"/>
      <c r="I78" s="311"/>
      <c r="J78" s="2037"/>
      <c r="K78" s="3322"/>
      <c r="L78" s="3321"/>
      <c r="M78" s="3088" t="s">
        <v>425</v>
      </c>
      <c r="N78" s="1302"/>
      <c r="O78" s="1303" t="str">
        <f ca="1">NUMBERSTRING(INT(O77*10000),2)&amp;"元整"</f>
        <v>贰仟壹佰捌拾柒万元整</v>
      </c>
      <c r="P78" s="1304"/>
      <c r="Q78" s="2030"/>
      <c r="R78" s="2030"/>
      <c r="S78" s="2030"/>
      <c r="T78" s="2030"/>
      <c r="U78" s="2030"/>
      <c r="V78" s="2030"/>
    </row>
    <row r="79" spans="1:22" ht="13.5" thickBot="1">
      <c r="A79" s="3316" t="s">
        <v>427</v>
      </c>
      <c r="B79" s="3316"/>
      <c r="C79" s="3316"/>
      <c r="D79" s="3316"/>
      <c r="E79" s="3316"/>
      <c r="F79" s="42"/>
      <c r="G79" s="42"/>
      <c r="H79" s="1003"/>
      <c r="I79" s="311"/>
      <c r="J79" s="2037"/>
      <c r="K79" s="3342">
        <f>K77+1</f>
        <v>6</v>
      </c>
      <c r="L79" s="3321" t="s">
        <v>2892</v>
      </c>
      <c r="M79" s="3088" t="s">
        <v>421</v>
      </c>
      <c r="N79" s="1302"/>
      <c r="O79" s="1303">
        <f ca="1">N69-O77</f>
        <v>5341</v>
      </c>
      <c r="P79" s="1304"/>
      <c r="Q79" s="2030"/>
      <c r="R79" s="2030"/>
      <c r="S79" s="2030"/>
      <c r="T79" s="2030"/>
      <c r="U79" s="2030"/>
      <c r="V79" s="2030"/>
    </row>
    <row r="80" spans="1:22" ht="25.5">
      <c r="A80" s="3311" t="s">
        <v>428</v>
      </c>
      <c r="B80" s="3312"/>
      <c r="C80" s="994"/>
      <c r="D80" s="994" t="s">
        <v>429</v>
      </c>
      <c r="E80" s="370" t="s">
        <v>430</v>
      </c>
      <c r="F80" s="42"/>
      <c r="G80" s="42"/>
      <c r="H80" s="1003"/>
      <c r="I80" s="311"/>
      <c r="J80" s="2030"/>
      <c r="K80" s="3343"/>
      <c r="L80" s="3321"/>
      <c r="M80" s="3088" t="s">
        <v>425</v>
      </c>
      <c r="N80" s="1302"/>
      <c r="O80" s="1303" t="str">
        <f ca="1">NUMBERSTRING(INT(O79*10000),2)&amp;"元整"</f>
        <v>伍仟叁佰肆拾壹万元整</v>
      </c>
      <c r="P80" s="1304"/>
      <c r="Q80" s="2030"/>
      <c r="R80" s="2030"/>
      <c r="S80" s="2030"/>
      <c r="T80" s="2030"/>
      <c r="U80" s="2030"/>
      <c r="V80" s="2030"/>
    </row>
    <row r="81" spans="1:26" ht="13.5" thickBot="1">
      <c r="A81" s="381" t="s">
        <v>1825</v>
      </c>
      <c r="B81" s="371" t="s">
        <v>431</v>
      </c>
      <c r="C81" s="372">
        <f ca="1">ROUND((C82+C83)/(1+'数据-取费表'!C42),0)</f>
        <v>4302</v>
      </c>
      <c r="D81" s="373"/>
      <c r="E81" s="374"/>
      <c r="F81" s="42"/>
      <c r="G81" s="42"/>
      <c r="H81" s="1003"/>
      <c r="I81" s="311"/>
      <c r="J81" s="2030"/>
      <c r="K81" s="3082">
        <f>K79+1</f>
        <v>7</v>
      </c>
      <c r="L81" s="3319" t="s">
        <v>2893</v>
      </c>
      <c r="M81" s="3320"/>
      <c r="N81" s="1306"/>
      <c r="O81" s="1307">
        <f ca="1">ROUND(O79*10000/'数据-汇总表'!E3,0)</f>
        <v>6676</v>
      </c>
      <c r="P81" s="1308"/>
      <c r="Q81" s="2030"/>
      <c r="R81" s="2030"/>
      <c r="S81" s="2030"/>
      <c r="T81" s="2030"/>
      <c r="U81" s="2030"/>
      <c r="V81" s="2030"/>
    </row>
    <row r="82" spans="1:26" ht="13.5" thickTop="1">
      <c r="A82" s="375" t="s">
        <v>1826</v>
      </c>
      <c r="B82" s="376" t="s">
        <v>432</v>
      </c>
      <c r="C82" s="377">
        <f ca="1">D63</f>
        <v>4517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331" t="s">
        <v>2880</v>
      </c>
      <c r="L83" s="3094" t="s">
        <v>2881</v>
      </c>
      <c r="M83" s="3084">
        <f ca="1">IF(N69&gt;10000,N69*0.5%,IF(AND(N69&gt;1000,N69&lt;=10000),N69*1%,IF(AND(N69&gt;100,N69&lt;=1000),N69*3%,IF(AND(N69&gt;10,N69&lt;=100),N69*5%,N69*8%))))</f>
        <v>75.28</v>
      </c>
      <c r="N83" s="53">
        <f ca="1">ROUND(M83,1)</f>
        <v>75.3</v>
      </c>
      <c r="O83" s="3087"/>
      <c r="P83" s="2030"/>
      <c r="Q83" s="2030"/>
      <c r="R83" s="2030"/>
      <c r="S83" s="2030"/>
      <c r="T83" s="2030"/>
      <c r="U83" s="2030"/>
      <c r="V83" s="2030"/>
    </row>
    <row r="84" spans="1:26" ht="12.75">
      <c r="A84" s="381" t="s">
        <v>1828</v>
      </c>
      <c r="B84" s="382" t="s">
        <v>434</v>
      </c>
      <c r="C84" s="383">
        <v>2000</v>
      </c>
      <c r="D84" s="384" t="s">
        <v>19</v>
      </c>
      <c r="E84" s="3126" t="s">
        <v>2946</v>
      </c>
      <c r="F84" s="42"/>
      <c r="G84" s="42"/>
      <c r="H84" s="1003"/>
      <c r="I84" s="311"/>
      <c r="J84" s="2030"/>
      <c r="K84" s="3331"/>
      <c r="L84" s="3094" t="s">
        <v>2882</v>
      </c>
      <c r="M84" s="3084">
        <f ca="1">IF(N69&gt;2000,N69*0.5%,IF(AND(N69&gt;1000,N69&lt;=2000),N69*0.6%,IF(AND(N69&gt;500,N69&lt;=1000),N69*0.7%,IF(AND(N69&gt;200,N69&lt;=500),N69*0.8%,IF(AND(N69&gt;100,N69&lt;=200),N69*0.9%,IF(AND(N69&gt;50,N69&lt;=100),N69*1%,IF(AND(N69&gt;20,N69&lt;=50),N69*1.5%,IF(AND(N69&gt;10,N69&lt;=20),N69*2%,IF(AND(N69&gt;1,N69&lt;=10),N69*2.5%)))))))))</f>
        <v>37.64</v>
      </c>
      <c r="N84" s="53">
        <f t="shared" ref="N84:N85" ca="1" si="2">ROUND(M84,1)</f>
        <v>37.6</v>
      </c>
      <c r="O84" s="2030" t="s">
        <v>2883</v>
      </c>
      <c r="P84" s="2030"/>
      <c r="Q84" s="2030"/>
      <c r="R84" s="2030"/>
      <c r="S84" s="2030"/>
      <c r="T84" s="2030"/>
      <c r="U84" s="2030"/>
      <c r="V84" s="2030"/>
    </row>
    <row r="85" spans="1:26" ht="12.75">
      <c r="A85" s="381" t="s">
        <v>1829</v>
      </c>
      <c r="B85" s="382" t="s">
        <v>435</v>
      </c>
      <c r="C85" s="385">
        <f ca="1">C81-C84</f>
        <v>2302</v>
      </c>
      <c r="D85" s="378" t="s">
        <v>19</v>
      </c>
      <c r="E85" s="379"/>
      <c r="F85" s="42"/>
      <c r="G85" s="42"/>
      <c r="H85" s="1003"/>
      <c r="I85" s="311"/>
      <c r="J85" s="2030"/>
      <c r="K85" s="3331"/>
      <c r="L85" s="3094" t="s">
        <v>2884</v>
      </c>
      <c r="M85" s="3084">
        <f ca="1">IF(N69&gt;1000,N69*0.1%,IF(AND(N69&gt;500,N69&lt;=1000),N69*0.5%,IF(AND(N69&gt;50,N69&lt;=500),N69*1%,IF(AND(N69&gt;1,N69&lt;=50),N69*1.5%))))</f>
        <v>7.5280000000000005</v>
      </c>
      <c r="N85" s="53">
        <f t="shared" ca="1" si="2"/>
        <v>7.5</v>
      </c>
      <c r="O85" s="2030" t="s">
        <v>2883</v>
      </c>
      <c r="P85" s="2030"/>
      <c r="Q85" s="2030"/>
      <c r="R85" s="2030"/>
      <c r="S85" s="2030"/>
      <c r="T85" s="2030"/>
      <c r="U85" s="2030"/>
      <c r="V85" s="2030"/>
    </row>
    <row r="86" spans="1:26" ht="13.5" thickBot="1">
      <c r="A86" s="386" t="s">
        <v>1830</v>
      </c>
      <c r="B86" s="387" t="s">
        <v>436</v>
      </c>
      <c r="C86" s="388">
        <f ca="1">IF(C85&lt;=0,0,ROUND(C85*D86,0))</f>
        <v>129</v>
      </c>
      <c r="D86" s="389">
        <f>'数据-取费表'!B41</f>
        <v>5.6000000000000001E-2</v>
      </c>
      <c r="E86" s="390"/>
      <c r="F86" s="42"/>
      <c r="G86" s="42"/>
      <c r="H86" s="1003"/>
      <c r="I86" s="311"/>
      <c r="J86" s="2030"/>
      <c r="K86" s="3331"/>
      <c r="L86" s="3094" t="s">
        <v>2885</v>
      </c>
      <c r="M86" s="3084">
        <f ca="1">N69*0.5%</f>
        <v>37.64</v>
      </c>
      <c r="N86" s="53">
        <f ca="1">IF(M86&gt;0.5,0.5,ROUND(M86,0))</f>
        <v>0.5</v>
      </c>
      <c r="O86" s="2030" t="s">
        <v>2886</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1"/>
      <c r="L87" s="3094" t="s">
        <v>2887</v>
      </c>
      <c r="M87" s="3084">
        <f ca="1">IF(N69&gt;=10000,(8.25+(N69-10000)*0.01%),IF(AND(N69&gt;=8000,N69&lt;10000),(7.85+(N69-8000)*0.02%),IF(AND(N69&gt;=5000,N69&lt;8000),(6.65+(N69-5000)*0.04%),IF(AND(N69&gt;=2000,N69&lt;5000),(4.25+(PN69-2000)*0.08%),IF(AND(N69&gt;=1000,N69&lt;2000),(2.75+(N69-1000)*0.15%),IF(AND(N69&gt;=100,N69&lt;1000),(0.5+(N69-100)*0.25%),IF(AND(N69&gt;0,N69&lt;100),N69*0.5%)))))))</f>
        <v>7.6612000000000009</v>
      </c>
      <c r="N87" s="53">
        <f ca="1">ROUND(M87*0.9,1)</f>
        <v>6.9</v>
      </c>
      <c r="O87" s="3087"/>
      <c r="P87" s="311"/>
      <c r="Q87" s="2030"/>
      <c r="R87" s="2030"/>
      <c r="S87" s="2030"/>
      <c r="T87" s="2030"/>
      <c r="U87" s="2030"/>
      <c r="V87" s="2030"/>
      <c r="W87" s="292"/>
      <c r="X87" s="292"/>
      <c r="Y87" s="292"/>
      <c r="Z87" s="292"/>
    </row>
    <row r="88" spans="1:26" s="1314" customFormat="1" ht="15" thickBot="1">
      <c r="A88" s="3313" t="s">
        <v>437</v>
      </c>
      <c r="B88" s="3314"/>
      <c r="C88" s="3314"/>
      <c r="D88" s="3314"/>
      <c r="E88" s="3314"/>
      <c r="F88" s="3314"/>
      <c r="G88" s="3314"/>
      <c r="H88" s="3314"/>
      <c r="I88" s="1315"/>
      <c r="J88" s="2038"/>
      <c r="K88" s="3331"/>
      <c r="L88" s="3094" t="s">
        <v>2888</v>
      </c>
      <c r="M88" s="3084">
        <f ca="1">IF(N69&gt;10000,N69*0.5%,IF(AND(N69&gt;5000,N69&lt;=10000),N69*1%,IF(AND(N69&gt;1000,N69&lt;=5000),N69*2%,IF(AND(N69&gt;200,N69&lt;=1000),N69*3%,N69*5%))))</f>
        <v>75.28</v>
      </c>
      <c r="N88" s="53">
        <f ca="1">ROUND(M88,1)</f>
        <v>75.3</v>
      </c>
      <c r="O88" s="3087"/>
      <c r="P88" s="11"/>
      <c r="Q88" s="2035"/>
      <c r="R88" s="2035"/>
      <c r="S88" s="2035"/>
      <c r="T88" s="2035"/>
      <c r="U88" s="2035"/>
      <c r="V88" s="2035"/>
      <c r="W88" s="2039"/>
      <c r="X88" s="2039"/>
      <c r="Y88" s="2039"/>
      <c r="Z88" s="2039"/>
    </row>
    <row r="89" spans="1:26" s="1314" customFormat="1" ht="14.25">
      <c r="A89" s="3311" t="s">
        <v>428</v>
      </c>
      <c r="B89" s="3312"/>
      <c r="C89" s="994"/>
      <c r="D89" s="994" t="s">
        <v>429</v>
      </c>
      <c r="E89" s="391" t="s">
        <v>438</v>
      </c>
      <c r="F89" s="392"/>
      <c r="G89" s="392"/>
      <c r="H89" s="393"/>
      <c r="I89" s="1316"/>
      <c r="J89" s="2040"/>
      <c r="K89" s="3331"/>
      <c r="L89" s="3094" t="s">
        <v>27</v>
      </c>
      <c r="M89" s="3085"/>
      <c r="N89" s="53">
        <f ca="1">ROUND(SUM(N83:N88),0)</f>
        <v>203</v>
      </c>
      <c r="O89" s="3095">
        <f ca="1">N89/N69</f>
        <v>2.6965993623804464E-2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4302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2587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274" t="s">
        <v>447</v>
      </c>
      <c r="F94" s="3273"/>
      <c r="G94" s="3273"/>
      <c r="H94" s="331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26</v>
      </c>
      <c r="D96" s="406">
        <f>'数据-取费表'!B43</f>
        <v>6.000000000000001E-3</v>
      </c>
      <c r="E96" s="3302" t="s">
        <v>2431</v>
      </c>
      <c r="F96" s="3303"/>
      <c r="G96" s="3303"/>
      <c r="H96" s="330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1715</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0.66293003478933132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557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3" t="s">
        <v>454</v>
      </c>
      <c r="B101" s="3314"/>
      <c r="C101" s="3314"/>
      <c r="D101" s="3314"/>
      <c r="E101" s="3314"/>
      <c r="F101" s="3314"/>
      <c r="G101" s="3314"/>
      <c r="H101" s="331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1" t="s">
        <v>428</v>
      </c>
      <c r="B102" s="331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4302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716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05" t="s">
        <v>462</v>
      </c>
      <c r="F109" s="3303"/>
      <c r="G109" s="3303"/>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05" t="s">
        <v>464</v>
      </c>
      <c r="F110" s="3303"/>
      <c r="G110" s="3303"/>
      <c r="H110" s="330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26</v>
      </c>
      <c r="D111" s="406">
        <f>'数据-取费表'!B43</f>
        <v>6.000000000000001E-3</v>
      </c>
      <c r="E111" s="3302" t="s">
        <v>2431</v>
      </c>
      <c r="F111" s="3303"/>
      <c r="G111" s="3303"/>
      <c r="H111" s="330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05" t="s">
        <v>2456</v>
      </c>
      <c r="F112" s="3303"/>
      <c r="G112" s="3303"/>
      <c r="H112" s="330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3586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5.0083798882681565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1901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R48" sqref="R48:W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8128</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10160</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7620</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508</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56" t="s">
        <v>523</v>
      </c>
      <c r="D6" s="3357"/>
      <c r="E6" s="3356" t="s">
        <v>524</v>
      </c>
      <c r="F6" s="3357"/>
      <c r="G6" s="3356" t="s">
        <v>525</v>
      </c>
      <c r="H6" s="3357"/>
      <c r="I6" s="3356" t="s">
        <v>526</v>
      </c>
      <c r="J6" s="3357"/>
      <c r="K6" s="514" t="s">
        <v>527</v>
      </c>
      <c r="L6" s="2135"/>
      <c r="M6" s="2134"/>
      <c r="N6" s="2134"/>
      <c r="O6" s="2136"/>
      <c r="P6" s="3358" t="s">
        <v>528</v>
      </c>
      <c r="Q6" s="3359"/>
      <c r="R6" s="3364" t="s">
        <v>524</v>
      </c>
      <c r="S6" s="3365"/>
      <c r="T6" s="3364" t="s">
        <v>525</v>
      </c>
      <c r="U6" s="3365"/>
      <c r="V6" s="3351" t="s">
        <v>526</v>
      </c>
      <c r="W6" s="3351"/>
      <c r="X6" s="1568"/>
      <c r="Y6" s="3364" t="s">
        <v>528</v>
      </c>
      <c r="Z6" s="3365"/>
      <c r="AA6" s="3353" t="s">
        <v>524</v>
      </c>
      <c r="AB6" s="3354" t="s">
        <v>525</v>
      </c>
      <c r="AC6" s="3353" t="s">
        <v>526</v>
      </c>
    </row>
    <row r="7" spans="1:30" ht="20.25">
      <c r="A7" s="515"/>
      <c r="B7" s="516"/>
      <c r="C7" s="3372" t="s">
        <v>2933</v>
      </c>
      <c r="D7" s="3373"/>
      <c r="E7" s="3372" t="str">
        <f>土地案例!A8</f>
        <v>富春街道公望街</v>
      </c>
      <c r="F7" s="3373"/>
      <c r="G7" s="3372" t="str">
        <f>土地案例!A9</f>
        <v>富春街道公园西路</v>
      </c>
      <c r="H7" s="3373"/>
      <c r="I7" s="3372" t="str">
        <f>土地案例!A10</f>
        <v>富春街道文居街(原育才西路)</v>
      </c>
      <c r="J7" s="3373"/>
      <c r="K7" s="514"/>
      <c r="L7" s="2135"/>
      <c r="M7" s="2134"/>
      <c r="N7" s="2134"/>
      <c r="O7" s="2136"/>
      <c r="P7" s="3360"/>
      <c r="Q7" s="3361"/>
      <c r="R7" s="3366"/>
      <c r="S7" s="3367"/>
      <c r="T7" s="3366"/>
      <c r="U7" s="3367"/>
      <c r="V7" s="3351"/>
      <c r="W7" s="3351"/>
      <c r="X7" s="1568"/>
      <c r="Y7" s="3366"/>
      <c r="Z7" s="3367"/>
      <c r="AA7" s="3354"/>
      <c r="AB7" s="3354"/>
      <c r="AC7" s="3354"/>
    </row>
    <row r="8" spans="1:30" ht="21" thickBot="1">
      <c r="A8" s="515"/>
      <c r="B8" s="516"/>
      <c r="C8" s="3374" t="s">
        <v>2937</v>
      </c>
      <c r="D8" s="3375"/>
      <c r="E8" s="3374" t="s">
        <v>2937</v>
      </c>
      <c r="F8" s="3375"/>
      <c r="G8" s="3370" t="s">
        <v>2937</v>
      </c>
      <c r="H8" s="3371"/>
      <c r="I8" s="3370" t="s">
        <v>2937</v>
      </c>
      <c r="J8" s="3371"/>
      <c r="K8" s="514" t="s">
        <v>529</v>
      </c>
      <c r="L8" s="2135"/>
      <c r="M8" s="2134"/>
      <c r="N8" s="2134"/>
      <c r="O8" s="2136"/>
      <c r="P8" s="3362"/>
      <c r="Q8" s="3363"/>
      <c r="R8" s="3366"/>
      <c r="S8" s="3367"/>
      <c r="T8" s="3368"/>
      <c r="U8" s="3369"/>
      <c r="V8" s="3351"/>
      <c r="W8" s="3351"/>
      <c r="X8" s="1568"/>
      <c r="Y8" s="3368"/>
      <c r="Z8" s="3369"/>
      <c r="AA8" s="3355"/>
      <c r="AB8" s="3355"/>
      <c r="AC8" s="3355"/>
    </row>
    <row r="9" spans="1:30" s="1220" customFormat="1" ht="21" thickBot="1">
      <c r="A9" s="2940"/>
      <c r="B9" s="2947" t="s">
        <v>530</v>
      </c>
      <c r="C9" s="2939">
        <f>'数据-取费表'!B2</f>
        <v>43074</v>
      </c>
      <c r="D9" s="520">
        <v>100</v>
      </c>
      <c r="E9" s="521" t="str">
        <f>土地案例!H8</f>
        <v>2016-07-04</v>
      </c>
      <c r="F9" s="522">
        <f>SUMIF(72:72,YEAR(E9)&amp;"-"&amp;INT((MONTH(E9)+2)/3),73:73)</f>
        <v>95</v>
      </c>
      <c r="G9" s="523" t="str">
        <f>土地案例!H9</f>
        <v>2016-04-11</v>
      </c>
      <c r="H9" s="520">
        <f>SUMIF(72:72,YEAR(G9)&amp;"-"&amp;INT((MONTH(G9)+2)/3),73:73)</f>
        <v>94</v>
      </c>
      <c r="I9" s="523" t="str">
        <f>土地案例!H10</f>
        <v>2015-12-31</v>
      </c>
      <c r="J9" s="520">
        <f>SUMIF(72:72,YEAR(I9)&amp;"-"&amp;INT((MONTH(I9)+2)/3),73:73)</f>
        <v>92</v>
      </c>
      <c r="K9" s="524"/>
      <c r="L9" s="2137"/>
      <c r="M9" s="2134"/>
      <c r="N9" s="2134"/>
      <c r="O9" s="2138"/>
      <c r="P9" s="3381" t="s">
        <v>531</v>
      </c>
      <c r="Q9" s="3383"/>
      <c r="R9" s="1569" t="s">
        <v>8</v>
      </c>
      <c r="S9" s="1570">
        <f t="shared" ref="S9:S17" si="0">F9</f>
        <v>95</v>
      </c>
      <c r="T9" s="1569" t="s">
        <v>8</v>
      </c>
      <c r="U9" s="1570">
        <f t="shared" ref="U9:U17" si="1">H9</f>
        <v>94</v>
      </c>
      <c r="V9" s="1569" t="s">
        <v>8</v>
      </c>
      <c r="W9" s="1570">
        <f t="shared" ref="W9:W17" si="2">J9</f>
        <v>92</v>
      </c>
      <c r="X9" s="1571"/>
      <c r="Y9" s="3381" t="s">
        <v>531</v>
      </c>
      <c r="Z9" s="3382"/>
      <c r="AA9" s="1572">
        <f>D9/F9</f>
        <v>1.0526315789473684</v>
      </c>
      <c r="AB9" s="1572">
        <f>D9/H9</f>
        <v>1.0638297872340425</v>
      </c>
      <c r="AC9" s="1572">
        <f>D9/J9</f>
        <v>1.0869565217391304</v>
      </c>
    </row>
    <row r="10" spans="1:30" s="1220" customFormat="1" ht="21" thickBot="1">
      <c r="A10" s="2941"/>
      <c r="B10" s="2948" t="s">
        <v>532</v>
      </c>
      <c r="C10" s="856" t="s">
        <v>533</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37"/>
      <c r="M10" s="2134"/>
      <c r="N10" s="2134"/>
      <c r="O10" s="2138"/>
      <c r="P10" s="3381" t="s">
        <v>534</v>
      </c>
      <c r="Q10" s="3382"/>
      <c r="R10" s="1569" t="s">
        <v>8</v>
      </c>
      <c r="S10" s="1570">
        <f t="shared" si="0"/>
        <v>100</v>
      </c>
      <c r="T10" s="1569" t="s">
        <v>8</v>
      </c>
      <c r="U10" s="1570">
        <f t="shared" si="1"/>
        <v>100</v>
      </c>
      <c r="V10" s="1569" t="s">
        <v>8</v>
      </c>
      <c r="W10" s="1570">
        <f t="shared" si="2"/>
        <v>100</v>
      </c>
      <c r="X10" s="1571"/>
      <c r="Y10" s="3381" t="s">
        <v>534</v>
      </c>
      <c r="Z10" s="3382"/>
      <c r="AA10" s="1572">
        <f t="shared" ref="AA10:AA47" si="3">D10/F10</f>
        <v>1</v>
      </c>
      <c r="AB10" s="1572">
        <f t="shared" ref="AB10:AB47" si="4">D10/H10</f>
        <v>1</v>
      </c>
      <c r="AC10" s="1572">
        <f t="shared" ref="AC10:AC47" si="5">D10/J10</f>
        <v>1</v>
      </c>
    </row>
    <row r="11" spans="1:30" s="1220" customFormat="1" ht="28.5">
      <c r="A11" s="2942"/>
      <c r="B11" s="2949" t="s">
        <v>2762</v>
      </c>
      <c r="C11" s="2936" t="s">
        <v>924</v>
      </c>
      <c r="D11" s="254">
        <v>100</v>
      </c>
      <c r="E11" s="3181" t="s">
        <v>3172</v>
      </c>
      <c r="F11" s="254">
        <f>SUMIF(77:77,E11,78:78)-SUMIF(77:77,C11,78:78)+100</f>
        <v>102</v>
      </c>
      <c r="G11" s="526" t="s">
        <v>924</v>
      </c>
      <c r="H11" s="254">
        <f>SUMIF(77:77,G11,78:78)-SUMIF(77:77,C11,78:78)+100</f>
        <v>100</v>
      </c>
      <c r="I11" s="526" t="s">
        <v>3081</v>
      </c>
      <c r="J11" s="254">
        <f>SUMIF(77:77,I11,78:78)-SUMIF(77:77,C11,78:78)+100</f>
        <v>102</v>
      </c>
      <c r="K11" s="524"/>
      <c r="L11" s="2137"/>
      <c r="M11" s="2134"/>
      <c r="N11" s="2134"/>
      <c r="O11" s="2139"/>
      <c r="P11" s="3350" t="s">
        <v>536</v>
      </c>
      <c r="Q11" s="1151" t="str">
        <f t="shared" ref="Q11:Q17" si="6">B11</f>
        <v>用途</v>
      </c>
      <c r="R11" s="1569" t="s">
        <v>8</v>
      </c>
      <c r="S11" s="1570">
        <f t="shared" si="0"/>
        <v>102</v>
      </c>
      <c r="T11" s="1569" t="s">
        <v>8</v>
      </c>
      <c r="U11" s="1570">
        <f t="shared" si="1"/>
        <v>100</v>
      </c>
      <c r="V11" s="1569" t="s">
        <v>8</v>
      </c>
      <c r="W11" s="1570">
        <f t="shared" si="2"/>
        <v>102</v>
      </c>
      <c r="X11" s="1571"/>
      <c r="Y11" s="3296" t="s">
        <v>537</v>
      </c>
      <c r="Z11" s="1150" t="str">
        <f t="shared" ref="Z11:Z17" si="7">Q11</f>
        <v>用途</v>
      </c>
      <c r="AA11" s="1572">
        <f t="shared" si="3"/>
        <v>0.98039215686274506</v>
      </c>
      <c r="AB11" s="1572">
        <f t="shared" si="4"/>
        <v>1</v>
      </c>
      <c r="AC11" s="1572">
        <f t="shared" si="5"/>
        <v>0.98039215686274506</v>
      </c>
    </row>
    <row r="12" spans="1:30" s="1338" customFormat="1" ht="27">
      <c r="A12" s="2943"/>
      <c r="B12" s="2948" t="s">
        <v>2763</v>
      </c>
      <c r="C12" s="910"/>
      <c r="D12" s="255">
        <v>100</v>
      </c>
      <c r="E12" s="529"/>
      <c r="F12" s="255">
        <f>ROUND(100/'数据-取费表'!G16,0)</f>
        <v>111</v>
      </c>
      <c r="G12" s="530"/>
      <c r="H12" s="255">
        <f>ROUND(100/'数据-取费表'!G16,0)</f>
        <v>111</v>
      </c>
      <c r="I12" s="530"/>
      <c r="J12" s="255">
        <f>ROUND(100/'数据-取费表'!G16,0)</f>
        <v>111</v>
      </c>
      <c r="K12" s="531"/>
      <c r="L12" s="2140"/>
      <c r="M12" s="2134"/>
      <c r="N12" s="2134"/>
      <c r="O12" s="2141"/>
      <c r="P12" s="3350"/>
      <c r="Q12" s="1151" t="str">
        <f t="shared" si="6"/>
        <v>土地使用年限（年）</v>
      </c>
      <c r="R12" s="1569" t="s">
        <v>8</v>
      </c>
      <c r="S12" s="1570">
        <f t="shared" si="0"/>
        <v>111</v>
      </c>
      <c r="T12" s="1569" t="s">
        <v>8</v>
      </c>
      <c r="U12" s="1570">
        <f t="shared" si="1"/>
        <v>111</v>
      </c>
      <c r="V12" s="1569" t="s">
        <v>8</v>
      </c>
      <c r="W12" s="1570">
        <f t="shared" si="2"/>
        <v>111</v>
      </c>
      <c r="X12" s="1571"/>
      <c r="Y12" s="3296"/>
      <c r="Z12" s="1150" t="str">
        <f t="shared" si="7"/>
        <v>土地使用年限（年）</v>
      </c>
      <c r="AA12" s="1572">
        <f t="shared" si="3"/>
        <v>0.90090090090090091</v>
      </c>
      <c r="AB12" s="1572">
        <f t="shared" si="4"/>
        <v>0.90090090090090091</v>
      </c>
      <c r="AC12" s="1572">
        <f t="shared" si="5"/>
        <v>0.90090090090090091</v>
      </c>
    </row>
    <row r="13" spans="1:30" ht="20.25">
      <c r="A13" s="2944"/>
      <c r="B13" s="2948" t="s">
        <v>2764</v>
      </c>
      <c r="C13" s="534">
        <v>0.75</v>
      </c>
      <c r="D13" s="255">
        <v>100</v>
      </c>
      <c r="E13" s="533">
        <v>2</v>
      </c>
      <c r="F13" s="255">
        <f>LOOKUP(E13,82:82,83:83)-LOOKUP(C13,82:82,83:83)+100</f>
        <v>104</v>
      </c>
      <c r="G13" s="534">
        <v>2.2000000000000002</v>
      </c>
      <c r="H13" s="255">
        <f>LOOKUP(G13,82:82,83:83)-LOOKUP(C13,82:82,83:83)+100</f>
        <v>104</v>
      </c>
      <c r="I13" s="533">
        <v>2.2000000000000002</v>
      </c>
      <c r="J13" s="255">
        <f>LOOKUP(I13,82:82,83:83)-LOOKUP(C13,82:82,83:83)+100</f>
        <v>104</v>
      </c>
      <c r="K13" s="535">
        <v>2</v>
      </c>
      <c r="L13" s="2142"/>
      <c r="M13" s="2134"/>
      <c r="N13" s="2134"/>
      <c r="O13" s="2143"/>
      <c r="P13" s="3350"/>
      <c r="Q13" s="1151" t="str">
        <f t="shared" si="6"/>
        <v>容积率</v>
      </c>
      <c r="R13" s="1569" t="s">
        <v>8</v>
      </c>
      <c r="S13" s="1570">
        <f t="shared" si="0"/>
        <v>104</v>
      </c>
      <c r="T13" s="1569" t="s">
        <v>8</v>
      </c>
      <c r="U13" s="1570">
        <f t="shared" si="1"/>
        <v>104</v>
      </c>
      <c r="V13" s="1569" t="s">
        <v>8</v>
      </c>
      <c r="W13" s="1570">
        <f t="shared" si="2"/>
        <v>104</v>
      </c>
      <c r="X13" s="1571"/>
      <c r="Y13" s="3296"/>
      <c r="Z13" s="1150" t="str">
        <f t="shared" si="7"/>
        <v>容积率</v>
      </c>
      <c r="AA13" s="1572">
        <f t="shared" si="3"/>
        <v>0.96153846153846156</v>
      </c>
      <c r="AB13" s="1572">
        <f t="shared" si="4"/>
        <v>0.96153846153846156</v>
      </c>
      <c r="AC13" s="1572">
        <f t="shared" si="5"/>
        <v>0.96153846153846156</v>
      </c>
    </row>
    <row r="14" spans="1:30" s="1220" customFormat="1" ht="20.25">
      <c r="A14" s="2941"/>
      <c r="B14" s="2950" t="s">
        <v>2765</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0"/>
      <c r="Q14" s="1151" t="str">
        <f t="shared" si="6"/>
        <v>配建</v>
      </c>
      <c r="R14" s="1569" t="s">
        <v>8</v>
      </c>
      <c r="S14" s="1570">
        <f t="shared" si="0"/>
        <v>100</v>
      </c>
      <c r="T14" s="1569" t="s">
        <v>8</v>
      </c>
      <c r="U14" s="1570">
        <f t="shared" si="1"/>
        <v>100</v>
      </c>
      <c r="V14" s="1569" t="s">
        <v>8</v>
      </c>
      <c r="W14" s="1570">
        <f t="shared" si="2"/>
        <v>100</v>
      </c>
      <c r="X14" s="1571"/>
      <c r="Y14" s="3296"/>
      <c r="Z14" s="1150" t="str">
        <f t="shared" si="7"/>
        <v>配建</v>
      </c>
      <c r="AA14" s="1572">
        <f>D14/F14</f>
        <v>1</v>
      </c>
      <c r="AB14" s="1572">
        <f>D14/H14</f>
        <v>1</v>
      </c>
      <c r="AC14" s="1572">
        <f>D14/J14</f>
        <v>1</v>
      </c>
    </row>
    <row r="15" spans="1:30" ht="20.25">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D15/F15</f>
        <v>1</v>
      </c>
      <c r="AB15" s="1572">
        <f>D15/H15</f>
        <v>1</v>
      </c>
      <c r="AC15" s="1572">
        <f>D15/J15</f>
        <v>1</v>
      </c>
    </row>
    <row r="16" spans="1:30" ht="2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D16/F16</f>
        <v>1</v>
      </c>
      <c r="AB16" s="1572">
        <f>D16/H16</f>
        <v>1</v>
      </c>
      <c r="AC16" s="1572">
        <f>D16/J16</f>
        <v>1</v>
      </c>
    </row>
    <row r="17" spans="1:29" ht="114">
      <c r="A17" s="2938" t="s">
        <v>2760</v>
      </c>
      <c r="B17" s="578" t="s">
        <v>295</v>
      </c>
      <c r="C17" s="548" t="str">
        <f>估价对象房地状况!C15</f>
        <v>估价对象周边居住用地比例一般、居住小区有九龙山庄、颐景山庄、鸣翠蓝湾等，综合评价居住社区成熟度一般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384" t="s">
        <v>541</v>
      </c>
      <c r="Q17" s="1573" t="str">
        <f t="shared" si="6"/>
        <v>居住社区成熟度</v>
      </c>
      <c r="R17" s="1574" t="s">
        <v>8</v>
      </c>
      <c r="S17" s="1575">
        <f t="shared" si="0"/>
        <v>105</v>
      </c>
      <c r="T17" s="1574" t="s">
        <v>8</v>
      </c>
      <c r="U17" s="1575">
        <f t="shared" si="1"/>
        <v>105</v>
      </c>
      <c r="V17" s="1574" t="s">
        <v>8</v>
      </c>
      <c r="W17" s="1575">
        <f t="shared" si="2"/>
        <v>105</v>
      </c>
      <c r="X17" s="1568"/>
      <c r="Y17" s="3384" t="s">
        <v>541</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3130</v>
      </c>
      <c r="D18" s="557"/>
      <c r="E18" s="558" t="s">
        <v>3129</v>
      </c>
      <c r="F18" s="555"/>
      <c r="G18" s="556" t="s">
        <v>3129</v>
      </c>
      <c r="H18" s="559"/>
      <c r="I18" s="558" t="s">
        <v>3129</v>
      </c>
      <c r="J18" s="555"/>
      <c r="K18" s="531"/>
      <c r="L18" s="2144"/>
      <c r="M18" s="2134"/>
      <c r="N18" s="2134"/>
      <c r="O18" s="2143"/>
      <c r="P18" s="3385"/>
      <c r="Q18" s="1573"/>
      <c r="R18" s="1574"/>
      <c r="S18" s="1575"/>
      <c r="T18" s="1574"/>
      <c r="U18" s="1575"/>
      <c r="V18" s="1574"/>
      <c r="W18" s="1575"/>
      <c r="X18" s="1568"/>
      <c r="Y18" s="3385"/>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4"/>
      <c r="M19" s="2134"/>
      <c r="N19" s="2134"/>
      <c r="O19" s="2143"/>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hidden="1">
      <c r="A20" s="532"/>
      <c r="B20" s="566"/>
      <c r="C20" s="567" t="s">
        <v>3130</v>
      </c>
      <c r="D20" s="563"/>
      <c r="E20" s="569" t="s">
        <v>3130</v>
      </c>
      <c r="F20" s="559"/>
      <c r="G20" s="568" t="s">
        <v>3130</v>
      </c>
      <c r="H20" s="555"/>
      <c r="I20" s="569" t="s">
        <v>3130</v>
      </c>
      <c r="J20" s="555"/>
      <c r="K20" s="531"/>
      <c r="L20" s="2144"/>
      <c r="M20" s="2134"/>
      <c r="N20" s="2134"/>
      <c r="O20" s="2143"/>
      <c r="P20" s="3385"/>
      <c r="Q20" s="1573"/>
      <c r="R20" s="1574"/>
      <c r="S20" s="1575"/>
      <c r="T20" s="1574"/>
      <c r="U20" s="1575"/>
      <c r="V20" s="1574"/>
      <c r="W20" s="1575"/>
      <c r="X20" s="1568"/>
      <c r="Y20" s="3385"/>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4"/>
      <c r="M21" s="2134"/>
      <c r="N21" s="2134"/>
      <c r="O21" s="2143"/>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hidden="1">
      <c r="A22" s="532"/>
      <c r="B22" s="566"/>
      <c r="C22" s="554" t="s">
        <v>3130</v>
      </c>
      <c r="D22" s="557"/>
      <c r="E22" s="558" t="s">
        <v>3130</v>
      </c>
      <c r="F22" s="555"/>
      <c r="G22" s="556" t="s">
        <v>3130</v>
      </c>
      <c r="H22" s="555"/>
      <c r="I22" s="558" t="s">
        <v>3130</v>
      </c>
      <c r="J22" s="555"/>
      <c r="K22" s="531"/>
      <c r="L22" s="2144"/>
      <c r="M22" s="2134"/>
      <c r="N22" s="2134"/>
      <c r="O22" s="2143"/>
      <c r="P22" s="3385"/>
      <c r="Q22" s="1573"/>
      <c r="R22" s="1574"/>
      <c r="S22" s="1575"/>
      <c r="T22" s="1574"/>
      <c r="U22" s="1575"/>
      <c r="V22" s="1574"/>
      <c r="W22" s="1575"/>
      <c r="X22" s="1568"/>
      <c r="Y22" s="3385"/>
      <c r="Z22" s="1576"/>
      <c r="AA22" s="1577">
        <v>1</v>
      </c>
      <c r="AB22" s="1577">
        <v>1</v>
      </c>
      <c r="AC22" s="1577">
        <v>1</v>
      </c>
    </row>
    <row r="23" spans="1:29" ht="99.75">
      <c r="A23" s="532"/>
      <c r="B23" s="560" t="s">
        <v>544</v>
      </c>
      <c r="C23" s="573" t="str">
        <f>估价对象房地状况!C18</f>
        <v>估价对象临沪瑞线，周边道路通达状况一般、附近公共交通较少，停车较便捷，综合评价交通便捷度一般</v>
      </c>
      <c r="D23" s="563">
        <v>100</v>
      </c>
      <c r="E23" s="564"/>
      <c r="F23" s="565">
        <f>SUMIF(96:96,E24,97:97)-SUMIF(96:96,C24,97:97)+100</f>
        <v>105</v>
      </c>
      <c r="G23" s="562"/>
      <c r="H23" s="559">
        <f>SUMIF(96:96,G24,97:97)-SUMIF(96:96,C24,97:97)+100</f>
        <v>105</v>
      </c>
      <c r="I23" s="564"/>
      <c r="J23" s="559">
        <f>SUMIF(96:96,I24,97:97)-SUMIF(96:96,C24,97:97)+100</f>
        <v>105</v>
      </c>
      <c r="K23" s="535">
        <v>5</v>
      </c>
      <c r="L23" s="2144"/>
      <c r="M23" s="2134"/>
      <c r="N23" s="2134"/>
      <c r="O23" s="2143"/>
      <c r="P23" s="3385"/>
      <c r="Q23" s="1573" t="str">
        <f>B23</f>
        <v>交通便捷度</v>
      </c>
      <c r="R23" s="1574" t="s">
        <v>8</v>
      </c>
      <c r="S23" s="1575">
        <f>F23</f>
        <v>105</v>
      </c>
      <c r="T23" s="1574" t="s">
        <v>8</v>
      </c>
      <c r="U23" s="1575">
        <f>H23</f>
        <v>105</v>
      </c>
      <c r="V23" s="1574" t="s">
        <v>8</v>
      </c>
      <c r="W23" s="1575">
        <f>J23</f>
        <v>105</v>
      </c>
      <c r="X23" s="1568"/>
      <c r="Y23" s="3385"/>
      <c r="Z23" s="1576" t="str">
        <f>Q23</f>
        <v>交通便捷度</v>
      </c>
      <c r="AA23" s="1577">
        <f t="shared" si="3"/>
        <v>0.95238095238095233</v>
      </c>
      <c r="AB23" s="1577">
        <f t="shared" si="4"/>
        <v>0.95238095238095233</v>
      </c>
      <c r="AC23" s="1577">
        <f t="shared" si="5"/>
        <v>0.95238095238095233</v>
      </c>
    </row>
    <row r="24" spans="1:29" ht="20.25">
      <c r="A24" s="532"/>
      <c r="B24" s="578"/>
      <c r="C24" s="554" t="s">
        <v>3130</v>
      </c>
      <c r="D24" s="557"/>
      <c r="E24" s="558" t="s">
        <v>3129</v>
      </c>
      <c r="F24" s="555"/>
      <c r="G24" s="556" t="s">
        <v>3129</v>
      </c>
      <c r="H24" s="555"/>
      <c r="I24" s="558" t="s">
        <v>3129</v>
      </c>
      <c r="J24" s="555"/>
      <c r="K24" s="531"/>
      <c r="L24" s="2144"/>
      <c r="M24" s="2134"/>
      <c r="N24" s="2134"/>
      <c r="O24" s="2143"/>
      <c r="P24" s="3385"/>
      <c r="Q24" s="1573"/>
      <c r="R24" s="1574"/>
      <c r="S24" s="1575"/>
      <c r="T24" s="1574"/>
      <c r="U24" s="1575"/>
      <c r="V24" s="1574"/>
      <c r="W24" s="1575"/>
      <c r="X24" s="1568"/>
      <c r="Y24" s="3385"/>
      <c r="Z24" s="1576"/>
      <c r="AA24" s="1577">
        <v>1</v>
      </c>
      <c r="AB24" s="1577">
        <v>1</v>
      </c>
      <c r="AC24" s="1577">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554" t="s">
        <v>3129</v>
      </c>
      <c r="D26" s="557"/>
      <c r="E26" s="558" t="s">
        <v>3129</v>
      </c>
      <c r="F26" s="555"/>
      <c r="G26" s="556" t="s">
        <v>3129</v>
      </c>
      <c r="H26" s="555"/>
      <c r="I26" s="558" t="s">
        <v>3129</v>
      </c>
      <c r="J26" s="555"/>
      <c r="K26" s="531"/>
      <c r="L26" s="2144"/>
      <c r="M26" s="2134"/>
      <c r="N26" s="2134"/>
      <c r="O26" s="2143"/>
      <c r="P26" s="3385"/>
      <c r="Q26" s="1573"/>
      <c r="R26" s="1574"/>
      <c r="S26" s="1575"/>
      <c r="T26" s="1574"/>
      <c r="U26" s="1575"/>
      <c r="V26" s="1574"/>
      <c r="W26" s="1575"/>
      <c r="X26" s="1568"/>
      <c r="Y26" s="3385"/>
      <c r="Z26" s="1576"/>
      <c r="AA26" s="1577"/>
      <c r="AB26" s="1577"/>
      <c r="AC26" s="1577"/>
    </row>
    <row r="27" spans="1:29" ht="57">
      <c r="A27" s="515"/>
      <c r="B27" s="578" t="s">
        <v>546</v>
      </c>
      <c r="C27" s="561" t="str">
        <f>估价对象房地状况!C20</f>
        <v>区域自然环境好；人文环境一般；综合评价环境状况较好</v>
      </c>
      <c r="D27" s="563">
        <v>100</v>
      </c>
      <c r="E27" s="564"/>
      <c r="F27" s="559">
        <f>SUMIF(100:100,E28,101:101)-SUMIF(100:100,C28,101:101)+100</f>
        <v>99</v>
      </c>
      <c r="G27" s="562"/>
      <c r="H27" s="559">
        <f>SUMIF(100:100,G28,101:101)-SUMIF(100:100,C28,101:101)+100</f>
        <v>99</v>
      </c>
      <c r="I27" s="564"/>
      <c r="J27" s="559">
        <f>SUMIF(100:100,I28,101:101)-SUMIF(100:100,C28,101:101)+100</f>
        <v>99</v>
      </c>
      <c r="K27" s="535">
        <v>1</v>
      </c>
      <c r="L27" s="2144"/>
      <c r="M27" s="2134"/>
      <c r="N27" s="2134"/>
      <c r="O27" s="2143"/>
      <c r="P27" s="3385"/>
      <c r="Q27" s="1573" t="str">
        <f t="shared" si="8"/>
        <v>自然及人文环境状况</v>
      </c>
      <c r="R27" s="1574" t="s">
        <v>8</v>
      </c>
      <c r="S27" s="1575">
        <f>F27</f>
        <v>99</v>
      </c>
      <c r="T27" s="1574" t="s">
        <v>8</v>
      </c>
      <c r="U27" s="1575">
        <f>H27</f>
        <v>99</v>
      </c>
      <c r="V27" s="1574" t="s">
        <v>8</v>
      </c>
      <c r="W27" s="1575">
        <f>J27</f>
        <v>99</v>
      </c>
      <c r="X27" s="1568"/>
      <c r="Y27" s="3385"/>
      <c r="Z27" s="1576" t="str">
        <f>Q27</f>
        <v>自然及人文环境状况</v>
      </c>
      <c r="AA27" s="1577">
        <f t="shared" si="3"/>
        <v>1.0101010101010102</v>
      </c>
      <c r="AB27" s="1577">
        <f t="shared" si="4"/>
        <v>1.0101010101010102</v>
      </c>
      <c r="AC27" s="1577">
        <f t="shared" si="5"/>
        <v>1.0101010101010102</v>
      </c>
    </row>
    <row r="28" spans="1:29" ht="20.25">
      <c r="A28" s="515"/>
      <c r="B28" s="566"/>
      <c r="C28" s="554" t="s">
        <v>3129</v>
      </c>
      <c r="D28" s="557"/>
      <c r="E28" s="576" t="s">
        <v>3130</v>
      </c>
      <c r="F28" s="555"/>
      <c r="G28" s="554" t="s">
        <v>3130</v>
      </c>
      <c r="H28" s="555"/>
      <c r="I28" s="576" t="s">
        <v>3130</v>
      </c>
      <c r="J28" s="555"/>
      <c r="K28" s="531"/>
      <c r="L28" s="2144"/>
      <c r="M28" s="2134"/>
      <c r="N28" s="2134"/>
      <c r="O28" s="2143"/>
      <c r="P28" s="3385"/>
      <c r="Q28" s="1573"/>
      <c r="R28" s="1574"/>
      <c r="S28" s="1575"/>
      <c r="T28" s="1574"/>
      <c r="U28" s="1575"/>
      <c r="V28" s="1574"/>
      <c r="W28" s="1575"/>
      <c r="X28" s="1568"/>
      <c r="Y28" s="3385"/>
      <c r="Z28" s="1576"/>
      <c r="AA28" s="1577">
        <v>1</v>
      </c>
      <c r="AB28" s="1577">
        <v>1</v>
      </c>
      <c r="AC28" s="1577">
        <v>1</v>
      </c>
    </row>
    <row r="29" spans="1:29" s="1220" customFormat="1" ht="42.75">
      <c r="A29" s="577"/>
      <c r="B29" s="2617" t="s">
        <v>2553</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7"/>
      <c r="M29" s="2134"/>
      <c r="N29" s="2134"/>
      <c r="O29" s="2139"/>
      <c r="P29" s="3385"/>
      <c r="Q29" s="1151" t="str">
        <f t="shared" si="8"/>
        <v>公共配套设施</v>
      </c>
      <c r="R29" s="1569" t="s">
        <v>8</v>
      </c>
      <c r="S29" s="1570">
        <f>F29</f>
        <v>102</v>
      </c>
      <c r="T29" s="1569" t="s">
        <v>8</v>
      </c>
      <c r="U29" s="1570">
        <f>H29</f>
        <v>102</v>
      </c>
      <c r="V29" s="1569" t="s">
        <v>8</v>
      </c>
      <c r="W29" s="1570">
        <f>J29</f>
        <v>102</v>
      </c>
      <c r="X29" s="1571"/>
      <c r="Y29" s="3385"/>
      <c r="Z29" s="1150" t="str">
        <f>Q29</f>
        <v>公共配套设施</v>
      </c>
      <c r="AA29" s="1577">
        <f>D29/F29</f>
        <v>0.98039215686274506</v>
      </c>
      <c r="AB29" s="1577">
        <f>D29/H29</f>
        <v>0.98039215686274506</v>
      </c>
      <c r="AC29" s="1577">
        <f>D29/J29</f>
        <v>0.98039215686274506</v>
      </c>
    </row>
    <row r="30" spans="1:29" s="1220" customFormat="1" ht="20.25">
      <c r="A30" s="577"/>
      <c r="B30" s="566"/>
      <c r="C30" s="579" t="s">
        <v>3130</v>
      </c>
      <c r="D30" s="557"/>
      <c r="E30" s="576" t="s">
        <v>3129</v>
      </c>
      <c r="F30" s="555"/>
      <c r="G30" s="554" t="s">
        <v>3129</v>
      </c>
      <c r="H30" s="555"/>
      <c r="I30" s="576" t="s">
        <v>3129</v>
      </c>
      <c r="J30" s="555"/>
      <c r="K30" s="531"/>
      <c r="L30" s="2137"/>
      <c r="M30" s="2134"/>
      <c r="N30" s="2134"/>
      <c r="O30" s="2139"/>
      <c r="P30" s="3385"/>
      <c r="Q30" s="1151"/>
      <c r="R30" s="1569"/>
      <c r="S30" s="1570"/>
      <c r="T30" s="1569"/>
      <c r="U30" s="1570"/>
      <c r="V30" s="1569"/>
      <c r="W30" s="1570"/>
      <c r="X30" s="1571"/>
      <c r="Y30" s="3385"/>
      <c r="Z30" s="1150"/>
      <c r="AA30" s="1577">
        <v>1</v>
      </c>
      <c r="AB30" s="1577">
        <v>1</v>
      </c>
      <c r="AC30" s="1577">
        <v>1</v>
      </c>
    </row>
    <row r="31" spans="1:29" s="1220" customFormat="1" ht="42.75">
      <c r="A31" s="577"/>
      <c r="B31" s="2617" t="s">
        <v>2554</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85"/>
      <c r="Q31" s="2604" t="str">
        <f t="shared" ref="Q31" si="9">B31</f>
        <v>基础设施水平</v>
      </c>
      <c r="R31" s="1569" t="s">
        <v>8</v>
      </c>
      <c r="S31" s="1570">
        <f>F31</f>
        <v>100</v>
      </c>
      <c r="T31" s="1569" t="s">
        <v>8</v>
      </c>
      <c r="U31" s="1570">
        <f>H31</f>
        <v>100</v>
      </c>
      <c r="V31" s="1569" t="s">
        <v>8</v>
      </c>
      <c r="W31" s="1570">
        <f>J31</f>
        <v>100</v>
      </c>
      <c r="X31" s="1571"/>
      <c r="Y31" s="3385"/>
      <c r="Z31" s="2601" t="str">
        <f>Q31</f>
        <v>基础设施水平</v>
      </c>
      <c r="AA31" s="1577">
        <f>D31/F31</f>
        <v>1</v>
      </c>
      <c r="AB31" s="1577">
        <f>D31/H31</f>
        <v>1</v>
      </c>
      <c r="AC31" s="1577">
        <f>D31/J31</f>
        <v>1</v>
      </c>
    </row>
    <row r="32" spans="1:29" s="1220" customFormat="1" ht="20.25">
      <c r="A32" s="577"/>
      <c r="B32" s="566"/>
      <c r="C32" s="579" t="s">
        <v>3131</v>
      </c>
      <c r="D32" s="557"/>
      <c r="E32" s="2618" t="s">
        <v>3131</v>
      </c>
      <c r="F32" s="555"/>
      <c r="G32" s="579" t="s">
        <v>3131</v>
      </c>
      <c r="H32" s="555"/>
      <c r="I32" s="579" t="s">
        <v>3131</v>
      </c>
      <c r="J32" s="555"/>
      <c r="K32" s="531"/>
      <c r="L32" s="2137"/>
      <c r="M32" s="2134"/>
      <c r="N32" s="2134"/>
      <c r="O32" s="2139"/>
      <c r="P32" s="3385"/>
      <c r="Q32" s="2604"/>
      <c r="R32" s="1569"/>
      <c r="S32" s="1570"/>
      <c r="T32" s="1569"/>
      <c r="U32" s="1570"/>
      <c r="V32" s="1569"/>
      <c r="W32" s="1570"/>
      <c r="X32" s="1571"/>
      <c r="Y32" s="3385"/>
      <c r="Z32" s="2601"/>
      <c r="AA32" s="1577">
        <v>1</v>
      </c>
      <c r="AB32" s="1577">
        <v>1</v>
      </c>
      <c r="AC32" s="1577">
        <v>1</v>
      </c>
    </row>
    <row r="33" spans="1:29" ht="20.25">
      <c r="A33" s="532"/>
      <c r="B33" s="566" t="s">
        <v>548</v>
      </c>
      <c r="C33" s="580" t="s">
        <v>3137</v>
      </c>
      <c r="D33" s="575">
        <v>100</v>
      </c>
      <c r="E33" s="583" t="s">
        <v>3137</v>
      </c>
      <c r="F33" s="540">
        <f>SUMIF(106:106,E33,107:107)-SUMIF(106:106,C33,107:107)+100</f>
        <v>100</v>
      </c>
      <c r="G33" s="580" t="s">
        <v>3137</v>
      </c>
      <c r="H33" s="540">
        <f>SUMIF(106:106,G33,107:107)-SUMIF(106:106,C33,107:107)+100</f>
        <v>100</v>
      </c>
      <c r="I33" s="580" t="s">
        <v>3137</v>
      </c>
      <c r="J33" s="540">
        <f>SUMIF(106:106,I33,107:107)-SUMIF(106:106,C33,107:107)+100</f>
        <v>100</v>
      </c>
      <c r="K33" s="535">
        <v>2</v>
      </c>
      <c r="L33" s="2144"/>
      <c r="M33" s="2134"/>
      <c r="N33" s="2134"/>
      <c r="O33" s="2143"/>
      <c r="P33" s="33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5"/>
      <c r="Z33" s="1576" t="str">
        <f t="shared" ref="Z33:Z47" si="13">Q33</f>
        <v>临街状况</v>
      </c>
      <c r="AA33" s="1577">
        <f t="shared" si="3"/>
        <v>1</v>
      </c>
      <c r="AB33" s="1577">
        <f t="shared" si="4"/>
        <v>1</v>
      </c>
      <c r="AC33" s="1577">
        <f t="shared" si="5"/>
        <v>1</v>
      </c>
    </row>
    <row r="34" spans="1:29" ht="27">
      <c r="A34" s="532"/>
      <c r="B34" s="578" t="s">
        <v>549</v>
      </c>
      <c r="C34" s="3174" t="s">
        <v>3173</v>
      </c>
      <c r="D34" s="563">
        <v>100</v>
      </c>
      <c r="E34" s="3173" t="s">
        <v>3136</v>
      </c>
      <c r="F34" s="559">
        <f>SUMIF(108:108,E35,109:109)-SUMIF(108:108,C35,109:109)+100</f>
        <v>100</v>
      </c>
      <c r="G34" s="3174" t="s">
        <v>3136</v>
      </c>
      <c r="H34" s="559">
        <f>SUMIF(108:108,G35,109:109)-SUMIF(108:108,C35,109:109)+100</f>
        <v>100</v>
      </c>
      <c r="I34" s="3173" t="s">
        <v>3135</v>
      </c>
      <c r="J34" s="559">
        <f>SUMIF(108:108,I35,109:109)-SUMIF(108:108,C35,109:109)+100</f>
        <v>100</v>
      </c>
      <c r="K34" s="535">
        <v>1</v>
      </c>
      <c r="L34" s="2144"/>
      <c r="M34" s="2134"/>
      <c r="N34" s="2134"/>
      <c r="O34" s="2143"/>
      <c r="P34" s="3385"/>
      <c r="Q34" s="1573" t="str">
        <f t="shared" si="8"/>
        <v>毗邻道路的类型与等级</v>
      </c>
      <c r="R34" s="1574" t="s">
        <v>8</v>
      </c>
      <c r="S34" s="1575">
        <f t="shared" si="10"/>
        <v>100</v>
      </c>
      <c r="T34" s="1574" t="s">
        <v>8</v>
      </c>
      <c r="U34" s="1575">
        <f t="shared" si="11"/>
        <v>100</v>
      </c>
      <c r="V34" s="1574" t="s">
        <v>8</v>
      </c>
      <c r="W34" s="1575">
        <f t="shared" si="12"/>
        <v>100</v>
      </c>
      <c r="X34" s="1568"/>
      <c r="Y34" s="3385"/>
      <c r="Z34" s="1576" t="str">
        <f t="shared" si="13"/>
        <v>毗邻道路的类型与等级</v>
      </c>
      <c r="AA34" s="1577">
        <f t="shared" si="3"/>
        <v>1</v>
      </c>
      <c r="AB34" s="1577">
        <f t="shared" si="4"/>
        <v>1</v>
      </c>
      <c r="AC34" s="1577">
        <f t="shared" si="5"/>
        <v>1</v>
      </c>
    </row>
    <row r="35" spans="1:29" ht="21" thickBot="1">
      <c r="A35" s="532"/>
      <c r="B35" s="566"/>
      <c r="C35" s="554" t="s">
        <v>3134</v>
      </c>
      <c r="D35" s="557"/>
      <c r="E35" s="576" t="s">
        <v>3134</v>
      </c>
      <c r="F35" s="555"/>
      <c r="G35" s="554" t="s">
        <v>3134</v>
      </c>
      <c r="H35" s="555"/>
      <c r="I35" s="576" t="s">
        <v>3134</v>
      </c>
      <c r="J35" s="555"/>
      <c r="K35" s="581"/>
      <c r="L35" s="2144"/>
      <c r="M35" s="2134"/>
      <c r="N35" s="2134"/>
      <c r="O35" s="2143"/>
      <c r="P35" s="3385"/>
      <c r="Q35" s="1573"/>
      <c r="R35" s="1574"/>
      <c r="S35" s="1575"/>
      <c r="T35" s="1574"/>
      <c r="U35" s="1575"/>
      <c r="V35" s="1574"/>
      <c r="W35" s="1575"/>
      <c r="X35" s="1568"/>
      <c r="Y35" s="3385"/>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44"/>
      <c r="M36" s="2134"/>
      <c r="N36" s="2134"/>
      <c r="O36" s="2143"/>
      <c r="P36" s="3385"/>
      <c r="Q36" s="1573" t="str">
        <f t="shared" si="8"/>
        <v>土地级别</v>
      </c>
      <c r="R36" s="1574" t="s">
        <v>8</v>
      </c>
      <c r="S36" s="1575">
        <f t="shared" si="10"/>
        <v>100</v>
      </c>
      <c r="T36" s="1574" t="s">
        <v>8</v>
      </c>
      <c r="U36" s="1575">
        <f t="shared" si="11"/>
        <v>100</v>
      </c>
      <c r="V36" s="1574" t="s">
        <v>8</v>
      </c>
      <c r="W36" s="1575">
        <f t="shared" si="12"/>
        <v>100</v>
      </c>
      <c r="X36" s="1568"/>
      <c r="Y36" s="3385"/>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5"/>
      <c r="Q37" s="1573">
        <f t="shared" si="8"/>
        <v>111</v>
      </c>
      <c r="R37" s="1574" t="s">
        <v>8</v>
      </c>
      <c r="S37" s="1575">
        <f t="shared" si="10"/>
        <v>100</v>
      </c>
      <c r="T37" s="1574" t="s">
        <v>8</v>
      </c>
      <c r="U37" s="1575">
        <f t="shared" si="11"/>
        <v>100</v>
      </c>
      <c r="V37" s="1574" t="s">
        <v>8</v>
      </c>
      <c r="W37" s="1575">
        <f t="shared" si="12"/>
        <v>100</v>
      </c>
      <c r="X37" s="1568"/>
      <c r="Y37" s="3385"/>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6" t="s">
        <v>551</v>
      </c>
      <c r="Q38" s="1573">
        <f t="shared" si="8"/>
        <v>111</v>
      </c>
      <c r="R38" s="1574" t="s">
        <v>8</v>
      </c>
      <c r="S38" s="1575">
        <f t="shared" si="10"/>
        <v>100</v>
      </c>
      <c r="T38" s="1574" t="s">
        <v>8</v>
      </c>
      <c r="U38" s="1575">
        <f t="shared" si="11"/>
        <v>100</v>
      </c>
      <c r="V38" s="1574" t="s">
        <v>8</v>
      </c>
      <c r="W38" s="1575">
        <f t="shared" si="12"/>
        <v>100</v>
      </c>
      <c r="X38" s="1568"/>
      <c r="Y38" s="3387"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7"/>
      <c r="Q39" s="1573">
        <f t="shared" si="8"/>
        <v>111</v>
      </c>
      <c r="R39" s="1578" t="s">
        <v>8</v>
      </c>
      <c r="S39" s="1579">
        <f t="shared" si="10"/>
        <v>100</v>
      </c>
      <c r="T39" s="1578" t="s">
        <v>8</v>
      </c>
      <c r="U39" s="1579">
        <f t="shared" si="11"/>
        <v>100</v>
      </c>
      <c r="V39" s="1578" t="s">
        <v>8</v>
      </c>
      <c r="W39" s="1579">
        <f t="shared" si="12"/>
        <v>100</v>
      </c>
      <c r="X39" s="1580"/>
      <c r="Y39" s="3387"/>
      <c r="Z39" s="1581">
        <f t="shared" si="13"/>
        <v>111</v>
      </c>
      <c r="AA39" s="1577">
        <f t="shared" si="3"/>
        <v>1</v>
      </c>
      <c r="AB39" s="1577">
        <f t="shared" si="4"/>
        <v>1</v>
      </c>
      <c r="AC39" s="1577">
        <f t="shared" si="5"/>
        <v>1</v>
      </c>
    </row>
    <row r="40" spans="1:29" ht="20.25">
      <c r="A40" s="2935" t="s">
        <v>2761</v>
      </c>
      <c r="B40" s="595" t="s">
        <v>553</v>
      </c>
      <c r="C40" s="596">
        <f>'数据-基础表'!A3</f>
        <v>10667</v>
      </c>
      <c r="D40" s="597">
        <v>100</v>
      </c>
      <c r="E40" s="596">
        <f>土地案例!D8</f>
        <v>24800</v>
      </c>
      <c r="F40" s="597">
        <f>LOOKUP(E40,119:119,120:120)-LOOKUP(C40,119:119,120:120)+100</f>
        <v>101</v>
      </c>
      <c r="G40" s="596">
        <f>土地案例!D9</f>
        <v>30063</v>
      </c>
      <c r="H40" s="597">
        <f>LOOKUP(G40,119:119,120:120)-LOOKUP(C40,119:119,120:120)+100</f>
        <v>101</v>
      </c>
      <c r="I40" s="598">
        <f>土地案例!D10</f>
        <v>42612</v>
      </c>
      <c r="J40" s="597">
        <f>LOOKUP(I40,119:119,120:120)-LOOKUP(C40,119:119,120:120)+100</f>
        <v>102</v>
      </c>
      <c r="K40" s="581"/>
      <c r="L40" s="2144"/>
      <c r="M40" s="2134"/>
      <c r="N40" s="2134"/>
      <c r="O40" s="2143"/>
      <c r="P40" s="3387"/>
      <c r="Q40" s="1573" t="str">
        <f>B40</f>
        <v>宗地面积</v>
      </c>
      <c r="R40" s="1574" t="s">
        <v>8</v>
      </c>
      <c r="S40" s="1575">
        <f t="shared" si="10"/>
        <v>101</v>
      </c>
      <c r="T40" s="1574" t="s">
        <v>8</v>
      </c>
      <c r="U40" s="1575">
        <f t="shared" si="11"/>
        <v>101</v>
      </c>
      <c r="V40" s="1574" t="s">
        <v>8</v>
      </c>
      <c r="W40" s="1575">
        <f t="shared" si="12"/>
        <v>102</v>
      </c>
      <c r="X40" s="1568"/>
      <c r="Y40" s="3387"/>
      <c r="Z40" s="1576" t="str">
        <f t="shared" si="13"/>
        <v>宗地面积</v>
      </c>
      <c r="AA40" s="1577">
        <f t="shared" si="3"/>
        <v>0.99009900990099009</v>
      </c>
      <c r="AB40" s="1577">
        <f t="shared" si="4"/>
        <v>0.99009900990099009</v>
      </c>
      <c r="AC40" s="1577">
        <f t="shared" si="5"/>
        <v>0.98039215686274506</v>
      </c>
    </row>
    <row r="41" spans="1:29" ht="20.25">
      <c r="A41" s="594"/>
      <c r="B41" s="527" t="s">
        <v>554</v>
      </c>
      <c r="C41" s="599" t="s">
        <v>3174</v>
      </c>
      <c r="D41" s="540">
        <v>100</v>
      </c>
      <c r="E41" s="599" t="s">
        <v>3132</v>
      </c>
      <c r="F41" s="540">
        <f>SUMIF(121:121,E41,122:122)-SUMIF(121:121,C41,122:122)+100</f>
        <v>101</v>
      </c>
      <c r="G41" s="599" t="s">
        <v>3132</v>
      </c>
      <c r="H41" s="540">
        <f>SUMIF(121:121,G41,122:122)-SUMIF(121:121,C41,122:122)+100</f>
        <v>101</v>
      </c>
      <c r="I41" s="599" t="s">
        <v>3132</v>
      </c>
      <c r="J41" s="540">
        <f>SUMIF(121:121,I41,122:122)-SUMIF(121:121,C41,122:122)+100</f>
        <v>101</v>
      </c>
      <c r="K41" s="584">
        <v>1</v>
      </c>
      <c r="L41" s="2144"/>
      <c r="M41" s="2134"/>
      <c r="N41" s="2134"/>
      <c r="O41" s="2143"/>
      <c r="P41" s="3387"/>
      <c r="Q41" s="1573" t="str">
        <f t="shared" ref="Q41:Q47" si="14">B41</f>
        <v>宗地形状</v>
      </c>
      <c r="R41" s="1574" t="s">
        <v>8</v>
      </c>
      <c r="S41" s="1575">
        <f t="shared" si="10"/>
        <v>101</v>
      </c>
      <c r="T41" s="1574" t="s">
        <v>8</v>
      </c>
      <c r="U41" s="1575">
        <f t="shared" si="11"/>
        <v>101</v>
      </c>
      <c r="V41" s="1574" t="s">
        <v>8</v>
      </c>
      <c r="W41" s="1575">
        <f t="shared" si="12"/>
        <v>101</v>
      </c>
      <c r="X41" s="1568"/>
      <c r="Y41" s="3387"/>
      <c r="Z41" s="1576" t="str">
        <f t="shared" si="13"/>
        <v>宗地形状</v>
      </c>
      <c r="AA41" s="1577">
        <f t="shared" si="3"/>
        <v>0.99009900990099009</v>
      </c>
      <c r="AB41" s="1577">
        <f t="shared" si="4"/>
        <v>0.99009900990099009</v>
      </c>
      <c r="AC41" s="1577">
        <f t="shared" si="5"/>
        <v>0.99009900990099009</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4"/>
      <c r="M42" s="2134"/>
      <c r="N42" s="2134"/>
      <c r="O42" s="2143"/>
      <c r="P42" s="3387"/>
      <c r="Q42" s="1573" t="str">
        <f t="shared" si="14"/>
        <v>临街宽度及深度</v>
      </c>
      <c r="R42" s="1574" t="s">
        <v>8</v>
      </c>
      <c r="S42" s="1575">
        <f t="shared" si="10"/>
        <v>100</v>
      </c>
      <c r="T42" s="1574" t="s">
        <v>8</v>
      </c>
      <c r="U42" s="1575">
        <f t="shared" si="11"/>
        <v>100</v>
      </c>
      <c r="V42" s="1574" t="s">
        <v>8</v>
      </c>
      <c r="W42" s="1575">
        <f t="shared" si="12"/>
        <v>100</v>
      </c>
      <c r="X42" s="1568"/>
      <c r="Y42" s="3387"/>
      <c r="Z42" s="1576" t="str">
        <f t="shared" si="13"/>
        <v>临街宽度及深度</v>
      </c>
      <c r="AA42" s="1577">
        <f t="shared" si="3"/>
        <v>1</v>
      </c>
      <c r="AB42" s="1577">
        <f t="shared" si="4"/>
        <v>1</v>
      </c>
      <c r="AC42" s="1577">
        <f t="shared" si="5"/>
        <v>1</v>
      </c>
    </row>
    <row r="43" spans="1:29" s="1220" customFormat="1" ht="20.25" hidden="1">
      <c r="A43" s="600"/>
      <c r="B43" s="1897" t="s">
        <v>2427</v>
      </c>
      <c r="C43" s="601" t="s">
        <v>3133</v>
      </c>
      <c r="D43" s="255">
        <v>100</v>
      </c>
      <c r="E43" s="601" t="s">
        <v>3133</v>
      </c>
      <c r="F43" s="540">
        <f>SUMIF(125:125,E43,126:126)-SUMIF(125:125,C43,126:126)+100</f>
        <v>100</v>
      </c>
      <c r="G43" s="601" t="s">
        <v>3133</v>
      </c>
      <c r="H43" s="540">
        <f>SUMIF(125:125,G43,126:126)-SUMIF(125:125,C43,126:126)+100</f>
        <v>100</v>
      </c>
      <c r="I43" s="601" t="s">
        <v>3133</v>
      </c>
      <c r="J43" s="540">
        <f>SUMIF(125:125,I43,126:126)-SUMIF(125:125,C43,126:126)+100</f>
        <v>100</v>
      </c>
      <c r="K43" s="584">
        <v>1</v>
      </c>
      <c r="L43" s="2137"/>
      <c r="M43" s="2134"/>
      <c r="N43" s="2134"/>
      <c r="O43" s="2139"/>
      <c r="P43" s="3387"/>
      <c r="Q43" s="1573" t="str">
        <f t="shared" si="14"/>
        <v>宗地开发程度</v>
      </c>
      <c r="R43" s="1569" t="s">
        <v>8</v>
      </c>
      <c r="S43" s="1570">
        <f t="shared" si="10"/>
        <v>100</v>
      </c>
      <c r="T43" s="1569" t="s">
        <v>8</v>
      </c>
      <c r="U43" s="1570">
        <f t="shared" si="11"/>
        <v>100</v>
      </c>
      <c r="V43" s="1569" t="s">
        <v>8</v>
      </c>
      <c r="W43" s="1570">
        <f t="shared" si="12"/>
        <v>100</v>
      </c>
      <c r="X43" s="1571"/>
      <c r="Y43" s="3387"/>
      <c r="Z43" s="1150" t="str">
        <f t="shared" si="13"/>
        <v>宗地开发程度</v>
      </c>
      <c r="AA43" s="1572">
        <f t="shared" si="3"/>
        <v>1</v>
      </c>
      <c r="AB43" s="1572">
        <f t="shared" si="4"/>
        <v>1</v>
      </c>
      <c r="AC43" s="1572">
        <f t="shared" si="5"/>
        <v>1</v>
      </c>
    </row>
    <row r="44" spans="1:29" ht="21" thickBot="1">
      <c r="A44" s="594"/>
      <c r="B44" s="527" t="s">
        <v>556</v>
      </c>
      <c r="C44" s="599" t="s">
        <v>3093</v>
      </c>
      <c r="D44" s="540">
        <v>100</v>
      </c>
      <c r="E44" s="599" t="s">
        <v>3093</v>
      </c>
      <c r="F44" s="540">
        <f>SUMIF(127:127,E44,128:128)-SUMIF(127:127,C44,128:128)+100</f>
        <v>100</v>
      </c>
      <c r="G44" s="599" t="s">
        <v>3093</v>
      </c>
      <c r="H44" s="540">
        <f>SUMIF(127:127,G44,128:128)-SUMIF(127:127,C44,128:128)+100</f>
        <v>100</v>
      </c>
      <c r="I44" s="599" t="s">
        <v>3093</v>
      </c>
      <c r="J44" s="540">
        <f>SUMIF(127:127,I44,128:128)-SUMIF(127:127,C44,128:128)+100</f>
        <v>100</v>
      </c>
      <c r="K44" s="584">
        <v>1</v>
      </c>
      <c r="L44" s="2144"/>
      <c r="M44" s="2134"/>
      <c r="N44" s="2134"/>
      <c r="O44" s="2143"/>
      <c r="P44" s="3387" t="s">
        <v>551</v>
      </c>
      <c r="Q44" s="1573" t="str">
        <f t="shared" si="14"/>
        <v>工程地质条件</v>
      </c>
      <c r="R44" s="1574" t="s">
        <v>8</v>
      </c>
      <c r="S44" s="1575">
        <f t="shared" si="10"/>
        <v>100</v>
      </c>
      <c r="T44" s="1574" t="s">
        <v>8</v>
      </c>
      <c r="U44" s="1575">
        <f t="shared" si="11"/>
        <v>100</v>
      </c>
      <c r="V44" s="1574" t="s">
        <v>8</v>
      </c>
      <c r="W44" s="1575">
        <f t="shared" si="12"/>
        <v>100</v>
      </c>
      <c r="X44" s="1568"/>
      <c r="Y44" s="3387"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7"/>
      <c r="Q45" s="1573">
        <f t="shared" si="14"/>
        <v>111</v>
      </c>
      <c r="R45" s="1574" t="s">
        <v>8</v>
      </c>
      <c r="S45" s="1575">
        <f t="shared" si="10"/>
        <v>100</v>
      </c>
      <c r="T45" s="1574" t="s">
        <v>8</v>
      </c>
      <c r="U45" s="1575">
        <f t="shared" si="11"/>
        <v>100</v>
      </c>
      <c r="V45" s="1574" t="s">
        <v>8</v>
      </c>
      <c r="W45" s="1575">
        <f t="shared" si="12"/>
        <v>100</v>
      </c>
      <c r="X45" s="1568"/>
      <c r="Y45" s="3387"/>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7"/>
      <c r="Q46" s="1573">
        <f t="shared" si="14"/>
        <v>111</v>
      </c>
      <c r="R46" s="1574" t="s">
        <v>8</v>
      </c>
      <c r="S46" s="1575">
        <f t="shared" si="10"/>
        <v>100</v>
      </c>
      <c r="T46" s="1574" t="s">
        <v>8</v>
      </c>
      <c r="U46" s="1575">
        <f t="shared" si="11"/>
        <v>100</v>
      </c>
      <c r="V46" s="1574" t="s">
        <v>8</v>
      </c>
      <c r="W46" s="1575">
        <f t="shared" si="12"/>
        <v>100</v>
      </c>
      <c r="X46" s="1568"/>
      <c r="Y46" s="3387"/>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7"/>
      <c r="Q47" s="1573">
        <f t="shared" si="14"/>
        <v>111</v>
      </c>
      <c r="R47" s="1578" t="s">
        <v>8</v>
      </c>
      <c r="S47" s="1579">
        <f t="shared" si="10"/>
        <v>100</v>
      </c>
      <c r="T47" s="1578" t="s">
        <v>8</v>
      </c>
      <c r="U47" s="1579">
        <f t="shared" si="11"/>
        <v>100</v>
      </c>
      <c r="V47" s="1578" t="s">
        <v>8</v>
      </c>
      <c r="W47" s="1579">
        <f t="shared" si="12"/>
        <v>100</v>
      </c>
      <c r="X47" s="1580"/>
      <c r="Y47" s="3387"/>
      <c r="Z47" s="1581">
        <f t="shared" si="13"/>
        <v>111</v>
      </c>
      <c r="AA47" s="1577">
        <f t="shared" si="3"/>
        <v>1</v>
      </c>
      <c r="AB47" s="1577">
        <f t="shared" si="4"/>
        <v>1</v>
      </c>
      <c r="AC47" s="1577">
        <f t="shared" si="5"/>
        <v>1</v>
      </c>
    </row>
    <row r="48" spans="1:29" ht="20.25">
      <c r="A48" s="607" t="s">
        <v>557</v>
      </c>
      <c r="B48" s="608" t="s">
        <v>3128</v>
      </c>
      <c r="C48" s="609" t="s">
        <v>1</v>
      </c>
      <c r="D48" s="610"/>
      <c r="E48" s="611">
        <f>土地案例!L8</f>
        <v>10706</v>
      </c>
      <c r="F48" s="612"/>
      <c r="G48" s="613">
        <f>土地案例!L9</f>
        <v>9054</v>
      </c>
      <c r="H48" s="614"/>
      <c r="I48" s="611">
        <f>土地案例!L10</f>
        <v>8803</v>
      </c>
      <c r="J48" s="614"/>
      <c r="K48" s="1340"/>
      <c r="L48" s="2146"/>
      <c r="M48" s="2134"/>
      <c r="N48" s="2134"/>
      <c r="O48" s="2147"/>
      <c r="P48" s="3350" t="str">
        <f>A48</f>
        <v>成交单价</v>
      </c>
      <c r="Q48" s="3350"/>
      <c r="R48" s="3351">
        <f>E48</f>
        <v>10706</v>
      </c>
      <c r="S48" s="3351"/>
      <c r="T48" s="3351">
        <f>G48</f>
        <v>9054</v>
      </c>
      <c r="U48" s="3351"/>
      <c r="V48" s="3351">
        <f>I48</f>
        <v>8803</v>
      </c>
      <c r="W48" s="3351"/>
      <c r="X48" s="1560"/>
      <c r="Y48" s="1582"/>
      <c r="Z48" s="1560"/>
      <c r="AA48" s="1560"/>
      <c r="AB48" s="1560"/>
      <c r="AC48" s="1560"/>
    </row>
    <row r="49" spans="1:29" ht="21" thickBot="1">
      <c r="A49" s="615" t="s">
        <v>2699</v>
      </c>
      <c r="B49" s="616"/>
      <c r="C49" s="617">
        <f>R50</f>
        <v>7620</v>
      </c>
      <c r="D49" s="618"/>
      <c r="E49" s="617">
        <f>R49</f>
        <v>8427</v>
      </c>
      <c r="F49" s="619"/>
      <c r="G49" s="620">
        <f>T49</f>
        <v>7347</v>
      </c>
      <c r="H49" s="618"/>
      <c r="I49" s="617">
        <f>V49</f>
        <v>7085</v>
      </c>
      <c r="J49" s="618"/>
      <c r="K49" s="1341"/>
      <c r="L49" s="2146"/>
      <c r="M49" s="2134"/>
      <c r="N49" s="2134"/>
      <c r="O49" s="2147"/>
      <c r="P49" s="3350" t="str">
        <f>A49</f>
        <v>比较价格（元/平方米）</v>
      </c>
      <c r="Q49" s="3350"/>
      <c r="R49" s="3352">
        <f>ROUND(PRODUCT(R48,AA9:AA47),0)</f>
        <v>8427</v>
      </c>
      <c r="S49" s="3352"/>
      <c r="T49" s="3352">
        <f>ROUND(PRODUCT(T48,AB9:AB47),0)</f>
        <v>7347</v>
      </c>
      <c r="U49" s="3352"/>
      <c r="V49" s="3352">
        <f>ROUND(PRODUCT(V48,AC9:AC47),0)</f>
        <v>7085</v>
      </c>
      <c r="W49" s="3352"/>
      <c r="X49" s="1560"/>
      <c r="Y49" s="1560"/>
      <c r="Z49" s="1560"/>
      <c r="AA49" s="1560"/>
      <c r="AB49" s="1560"/>
      <c r="AC49" s="1560"/>
    </row>
    <row r="50" spans="1:29" ht="21" thickBot="1">
      <c r="A50" s="621" t="s">
        <v>3138</v>
      </c>
      <c r="B50" s="622"/>
      <c r="C50" s="623">
        <f>R50</f>
        <v>7620</v>
      </c>
      <c r="D50" s="623"/>
      <c r="E50" s="623"/>
      <c r="F50" s="623"/>
      <c r="G50" s="623"/>
      <c r="H50" s="623"/>
      <c r="I50" s="623"/>
      <c r="J50" s="623"/>
      <c r="K50" s="1342"/>
      <c r="L50" s="2146"/>
      <c r="M50" s="2134"/>
      <c r="N50" s="2134"/>
      <c r="O50" s="2147"/>
      <c r="P50" s="3347" t="str">
        <f>A50</f>
        <v>估价对象住宅用房的比较价格（楼面单价，元/平方米）</v>
      </c>
      <c r="Q50" s="3348"/>
      <c r="R50" s="3349">
        <f>ROUND(AVERAGE(R49:V49),0)</f>
        <v>7620</v>
      </c>
      <c r="S50" s="3349"/>
      <c r="T50" s="3349"/>
      <c r="U50" s="3349"/>
      <c r="V50" s="3349"/>
      <c r="W50" s="334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0.27044025157232698</v>
      </c>
      <c r="F53" s="627" t="str">
        <f>IF(OR(E53&gt;=0.3,E53&lt;=-0.3),"超过30%","")</f>
        <v/>
      </c>
      <c r="G53" s="626">
        <f>IF(G48&lt;G49,G49/G48-1,G48/G49-1)</f>
        <v>0.23233973050224588</v>
      </c>
      <c r="H53" s="627" t="str">
        <f>IF(OR(G53&gt;=0.3,G53&lt;=-0.3),"超过30%","")</f>
        <v/>
      </c>
      <c r="I53" s="626">
        <f>IF(I48&lt;I49,I49/I48-1,I48/I49-1)</f>
        <v>0.24248412138320385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0.14699877501020819</v>
      </c>
      <c r="F54" s="627" t="str">
        <f>IF(OR(E54&gt;=0.2,E54&lt;=-0.2),"超过20%","")</f>
        <v/>
      </c>
      <c r="G54" s="626">
        <f>IF(G49&lt;I49,I49/G49-1,G49/I49-1)</f>
        <v>3.697953422724054E-2</v>
      </c>
      <c r="H54" s="627" t="str">
        <f>IF(OR(G54&gt;=0.2,G54&lt;=-0.2),"超过20%","")</f>
        <v/>
      </c>
      <c r="I54" s="626">
        <f>IF(I49&lt;E49,E49/I49-1,I49/E49-1)</f>
        <v>0.18941425546930124</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0.18246079081069144</v>
      </c>
      <c r="F55" s="627" t="str">
        <f>IF(OR(E55&gt;=0.3,E55&lt;=-0.3),"超过30%","")</f>
        <v/>
      </c>
      <c r="G55" s="626">
        <f>IF(G48&lt;I48,I48/G48-1,G48/I48-1)</f>
        <v>2.8513006929455909E-2</v>
      </c>
      <c r="H55" s="627" t="str">
        <f>IF(OR(G55&gt;=0.3,G55&lt;=-0.3),"超过30%","")</f>
        <v/>
      </c>
      <c r="I55" s="626">
        <f>IF(I48&lt;E48,E48/I48-1,I48/E48-1)</f>
        <v>0.21617630353288653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2296</v>
      </c>
      <c r="E57" s="631" t="s">
        <v>563</v>
      </c>
      <c r="F57" s="632" t="s">
        <v>564</v>
      </c>
      <c r="G57" s="3376" t="s">
        <v>2284</v>
      </c>
      <c r="H57" s="3377"/>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7620</v>
      </c>
      <c r="C58" s="635">
        <v>1</v>
      </c>
      <c r="D58" s="2230">
        <v>1</v>
      </c>
      <c r="E58" s="635">
        <f>'数据-汇总表'!E8+'数据-汇总表'!E9</f>
        <v>8000.25</v>
      </c>
      <c r="F58" s="636">
        <f t="shared" ref="F58:F67" si="15">ROUND(B58*E58/10000,0)</f>
        <v>6096</v>
      </c>
      <c r="G58" s="3378"/>
      <c r="H58" s="337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80"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8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8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8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2297</v>
      </c>
      <c r="E68" s="643">
        <f>IF(B48="楼面地价",SUM(E58:E67),'数据-汇总表'!D3)</f>
        <v>10667</v>
      </c>
      <c r="F68" s="644">
        <f>IF(B48="楼面地价",SUM(F58:F67),ROUND(C50*E68/10000,0))</f>
        <v>8128</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2537</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924</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2653</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7">
      <c r="A77" s="664" t="s">
        <v>578</v>
      </c>
      <c r="B77" s="665" t="s">
        <v>535</v>
      </c>
      <c r="C77" s="3170" t="s">
        <v>3082</v>
      </c>
      <c r="D77" s="3170" t="s">
        <v>3101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102</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98</v>
      </c>
      <c r="E95" s="679">
        <f>D95-$K21</f>
        <v>96</v>
      </c>
      <c r="F95" s="679">
        <f>E95-$K21</f>
        <v>94</v>
      </c>
      <c r="G95" s="679">
        <f>F95-$K21</f>
        <v>92</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2553</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2555</v>
      </c>
      <c r="C104" s="2624" t="s">
        <v>2556</v>
      </c>
      <c r="D104" s="2624" t="s">
        <v>2557</v>
      </c>
      <c r="E104" s="2624" t="s">
        <v>2558</v>
      </c>
      <c r="F104" s="2624" t="s">
        <v>2559</v>
      </c>
      <c r="G104" s="2624" t="s">
        <v>2560</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172" t="s">
        <v>3096</v>
      </c>
      <c r="D108" s="3172" t="s">
        <v>3097</v>
      </c>
      <c r="E108" s="3172" t="s">
        <v>3098</v>
      </c>
      <c r="F108" s="3172" t="s">
        <v>3099</v>
      </c>
      <c r="G108" s="3172" t="s">
        <v>3100</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100000(含)-150000</v>
      </c>
      <c r="I118" s="704" t="str">
        <f t="shared" si="25"/>
        <v>150000(含)-200000</v>
      </c>
      <c r="J118" s="3118" t="str">
        <f t="shared" si="25"/>
        <v>200000(含)-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150000</v>
      </c>
      <c r="J119" s="2369">
        <v>200000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v>107</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171" t="s">
        <v>3084</v>
      </c>
      <c r="D121" s="3171" t="s">
        <v>3085</v>
      </c>
      <c r="E121" s="3171" t="s">
        <v>3086</v>
      </c>
      <c r="F121" s="3171" t="s">
        <v>3087</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3088</v>
      </c>
      <c r="D125" s="1376" t="s">
        <v>3089</v>
      </c>
      <c r="E125" s="1376" t="s">
        <v>3090</v>
      </c>
      <c r="F125" s="1376" t="s">
        <v>3091</v>
      </c>
      <c r="G125" s="1376" t="s">
        <v>3092</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172" t="s">
        <v>3094</v>
      </c>
      <c r="D127" s="3172" t="s">
        <v>3095</v>
      </c>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5" sqref="C35"/>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t="s">
        <v>924</v>
      </c>
      <c r="C1" s="2106"/>
      <c r="D1" s="2106"/>
      <c r="E1" s="2106"/>
      <c r="F1" s="2106"/>
      <c r="G1" s="2106"/>
      <c r="H1" s="2106"/>
      <c r="I1" s="2106"/>
      <c r="J1" s="2106"/>
      <c r="K1" s="422">
        <f>MATCH(B1,'数据-取费表'!A6:A16,0)+5</f>
        <v>6</v>
      </c>
    </row>
    <row r="2" spans="1:31" s="2043" customFormat="1" ht="18" customHeight="1">
      <c r="A2" s="2103" t="s">
        <v>467</v>
      </c>
      <c r="B2" s="2107">
        <f ca="1">C36</f>
        <v>6927</v>
      </c>
      <c r="C2" s="2106"/>
      <c r="D2" s="2106"/>
      <c r="E2" s="2106"/>
      <c r="F2" s="2106"/>
      <c r="G2" s="2106"/>
      <c r="H2" s="2106"/>
      <c r="I2" s="2106"/>
      <c r="J2" s="2106"/>
      <c r="K2" s="2106"/>
    </row>
    <row r="3" spans="1:31" s="2043" customFormat="1" ht="18" customHeight="1">
      <c r="A3" s="2108" t="s">
        <v>1686</v>
      </c>
      <c r="B3" s="2109">
        <f ca="1">ROUND(B2*10000/IF(B1="",'数据-汇总表'!E3,INDIRECT("'数据-取费表'!K"&amp;$K$1)),0)</f>
        <v>8658</v>
      </c>
      <c r="C3" s="2106"/>
      <c r="D3" s="2106"/>
      <c r="E3" s="2106"/>
      <c r="F3" s="2106"/>
      <c r="G3" s="2106"/>
      <c r="H3" s="2106"/>
      <c r="I3" s="2106"/>
      <c r="J3" s="2106"/>
      <c r="K3" s="2106"/>
    </row>
    <row r="4" spans="1:31" s="2043" customFormat="1" ht="18" customHeight="1">
      <c r="A4" s="426" t="s">
        <v>468</v>
      </c>
      <c r="B4" s="427">
        <f ca="1">ROUND(B2*10000/IF(B1="",'数据-汇总表'!D3,INDIRECT("'数据-取费表'!R"&amp;$K$1)),0)</f>
        <v>6494</v>
      </c>
      <c r="C4" s="428"/>
      <c r="D4" s="422"/>
      <c r="E4" s="422"/>
      <c r="F4" s="422"/>
      <c r="G4" s="422"/>
      <c r="H4" s="422"/>
      <c r="I4" s="422"/>
      <c r="J4" s="422"/>
      <c r="K4" s="422"/>
    </row>
    <row r="5" spans="1:31" s="2043" customFormat="1" ht="18" customHeight="1" thickBot="1">
      <c r="A5" s="429"/>
      <c r="B5" s="430">
        <f ca="1">ROUND(B2/(IF(B1="",'数据-汇总表'!D3,INDIRECT("'数据-取费表'!R"&amp;$K$1))/666.67),0)</f>
        <v>433</v>
      </c>
      <c r="C5" s="431" t="s">
        <v>469</v>
      </c>
      <c r="D5" s="422"/>
      <c r="E5" s="422"/>
      <c r="F5" s="422"/>
      <c r="G5" s="422"/>
      <c r="H5" s="422"/>
      <c r="I5" s="422"/>
      <c r="J5" s="422"/>
      <c r="K5" s="422"/>
    </row>
    <row r="6" spans="1:31" s="2113" customFormat="1" ht="16.5" customHeight="1">
      <c r="A6" s="2856" t="s">
        <v>1844</v>
      </c>
      <c r="B6" s="2857"/>
      <c r="C6" s="2858">
        <f>SUM(C10:K10)</f>
        <v>15562</v>
      </c>
      <c r="D6" s="2857"/>
      <c r="E6" s="2857"/>
      <c r="F6" s="2857"/>
      <c r="G6" s="2857"/>
      <c r="H6" s="2857"/>
      <c r="I6" s="2857"/>
      <c r="J6" s="2857"/>
      <c r="K6" s="2859"/>
    </row>
    <row r="7" spans="1:31" s="2115" customFormat="1" ht="15">
      <c r="A7" s="2860" t="s">
        <v>470</v>
      </c>
      <c r="B7" s="2861" t="s">
        <v>471</v>
      </c>
      <c r="C7" s="436" t="s">
        <v>924</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'不动产比较法-住宅'!C49</f>
        <v>19452</v>
      </c>
      <c r="D8" s="2862"/>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8000.25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ROUND(C8*C9/10000,0)</f>
        <v>15562</v>
      </c>
      <c r="D10" s="3057"/>
      <c r="E10" s="3057"/>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2400</v>
      </c>
      <c r="D13" s="2872"/>
      <c r="E13" s="2873"/>
      <c r="F13" s="2874"/>
      <c r="G13" s="2840"/>
      <c r="H13" s="2841"/>
      <c r="I13" s="2841"/>
      <c r="J13" s="2841"/>
      <c r="K13" s="2842"/>
    </row>
    <row r="14" spans="1:31" s="2118" customFormat="1" ht="13.5" customHeight="1">
      <c r="A14" s="2870" t="s">
        <v>1851</v>
      </c>
      <c r="B14" s="2871" t="s">
        <v>480</v>
      </c>
      <c r="C14" s="53">
        <f ca="1">ROUND(C13*F14,0)</f>
        <v>120</v>
      </c>
      <c r="D14" s="2872"/>
      <c r="E14" s="2873"/>
      <c r="F14" s="2875">
        <f>'数据-取费表'!B33</f>
        <v>0.05</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120</v>
      </c>
      <c r="D15" s="2872"/>
      <c r="E15" s="2873"/>
      <c r="F15" s="2875">
        <f>'数据-取费表'!B34</f>
        <v>0.05</v>
      </c>
      <c r="G15" s="2840" t="s">
        <v>483</v>
      </c>
      <c r="H15" s="2841"/>
      <c r="I15" s="2841"/>
      <c r="J15" s="2841"/>
      <c r="K15" s="2842"/>
    </row>
    <row r="16" spans="1:31" s="2119" customFormat="1" ht="13.5" customHeight="1">
      <c r="A16" s="2870" t="s">
        <v>1853</v>
      </c>
      <c r="B16" s="2871" t="s">
        <v>484</v>
      </c>
      <c r="C16" s="53">
        <f ca="1">ROUND(D16*E16/10000,0)</f>
        <v>160</v>
      </c>
      <c r="D16" s="2872">
        <f ca="1">IF(B1="",'数据-汇总表'!E3,INDIRECT("'数据-取费表'!K"&amp;$K$1)+INDIRECT("'数据-取费表'!S"&amp;$K$1))</f>
        <v>8000.25</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36</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2836</v>
      </c>
      <c r="D18" s="2881"/>
      <c r="E18" s="468"/>
      <c r="F18" s="468"/>
      <c r="G18" s="2844" t="s">
        <v>2433</v>
      </c>
      <c r="H18" s="2845"/>
      <c r="I18" s="2845"/>
      <c r="J18" s="2845"/>
      <c r="K18" s="2846"/>
    </row>
    <row r="19" spans="1:14" s="2118" customFormat="1" ht="13.5" customHeight="1">
      <c r="A19" s="2878" t="s">
        <v>1856</v>
      </c>
      <c r="B19" s="2879" t="s">
        <v>488</v>
      </c>
      <c r="C19" s="2836">
        <f ca="1">ROUND(D19*E19/10000,0)</f>
        <v>160</v>
      </c>
      <c r="D19" s="2882">
        <f ca="1">D16</f>
        <v>8000.25</v>
      </c>
      <c r="E19" s="2836">
        <f>'数据-取费表'!B32</f>
        <v>200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44</v>
      </c>
      <c r="D20" s="2882"/>
      <c r="E20" s="2836"/>
      <c r="F20" s="2883"/>
      <c r="G20" s="3180" t="s">
        <v>3176</v>
      </c>
      <c r="H20" s="2838"/>
      <c r="I20" s="2839" t="s">
        <v>2657</v>
      </c>
      <c r="J20" s="2845"/>
      <c r="K20" s="2846"/>
    </row>
    <row r="21" spans="1:14" s="2118" customFormat="1" ht="13.5" customHeight="1">
      <c r="A21" s="2870" t="s">
        <v>1858</v>
      </c>
      <c r="B21" s="2871" t="s">
        <v>491</v>
      </c>
      <c r="C21" s="53">
        <f ca="1">ROUND(D21*E21/10000,0)</f>
        <v>44</v>
      </c>
      <c r="D21" s="2872">
        <f ca="1">IF(B1="",'数据-汇总表'!E5,IF(INDIRECT("'数据-取费表'!c"&amp;$K$1)="住宅",INDIRECT("'数据-取费表'!k"&amp;$K$1),0))</f>
        <v>8000.25</v>
      </c>
      <c r="E21" s="53">
        <f>'数据-取费表'!B27</f>
        <v>55</v>
      </c>
      <c r="F21" s="2875"/>
      <c r="G21" s="26"/>
      <c r="H21" s="51"/>
      <c r="I21" s="51"/>
      <c r="J21" s="51"/>
      <c r="K21" s="2847"/>
    </row>
    <row r="22" spans="1:14" s="2118" customFormat="1" ht="13.5" customHeight="1">
      <c r="A22" s="2870" t="s">
        <v>1859</v>
      </c>
      <c r="B22" s="2871" t="s">
        <v>492</v>
      </c>
      <c r="C22" s="53">
        <f ca="1">ROUND(D22*E22/10000,0)</f>
        <v>0</v>
      </c>
      <c r="D22" s="2872">
        <f ca="1">IF(B1="",'数据-汇总表'!E6,IF(INDIRECT("'数据-取费表'!c"&amp;$K$1)="住宅",INDIRECT("'数据-取费表'!s"&amp;$K$1),INDIRECT("'数据-取费表'!k"&amp;$K$1)+INDIRECT("'数据-取费表'!s"&amp;$K$1)))</f>
        <v>0</v>
      </c>
      <c r="E22" s="53">
        <f>'数据-取费表'!B28</f>
        <v>90</v>
      </c>
      <c r="F22" s="2875"/>
      <c r="G22" s="26"/>
      <c r="H22" s="51"/>
      <c r="I22" s="51"/>
      <c r="J22" s="51"/>
      <c r="K22" s="2847"/>
    </row>
    <row r="23" spans="1:14" s="2118" customFormat="1" ht="13.5" customHeight="1">
      <c r="A23" s="2878" t="s">
        <v>1860</v>
      </c>
      <c r="B23" s="3063" t="s">
        <v>2840</v>
      </c>
      <c r="C23" s="2880">
        <f ca="1">ROUND((C18+C19+C20)*F23,0)</f>
        <v>91</v>
      </c>
      <c r="D23" s="468"/>
      <c r="E23" s="468"/>
      <c r="F23" s="2884">
        <f>'数据-取费表'!B37</f>
        <v>0.03</v>
      </c>
      <c r="G23" s="2840" t="s">
        <v>2434</v>
      </c>
      <c r="H23" s="2841"/>
      <c r="I23" s="2841"/>
      <c r="J23" s="2841"/>
      <c r="K23" s="2842"/>
      <c r="L23" s="2120"/>
      <c r="M23" s="2120"/>
      <c r="N23" s="2120"/>
    </row>
    <row r="24" spans="1:14" s="2118" customFormat="1" ht="13.5" customHeight="1">
      <c r="A24" s="2878" t="s">
        <v>1861</v>
      </c>
      <c r="B24" s="3063" t="s">
        <v>2843</v>
      </c>
      <c r="C24" s="2880">
        <f>ROUND(C6*F24,0)</f>
        <v>467</v>
      </c>
      <c r="D24" s="475"/>
      <c r="E24" s="473"/>
      <c r="F24" s="2884">
        <f>'数据-取费表'!B38</f>
        <v>0.03</v>
      </c>
      <c r="G24" s="2849" t="s">
        <v>499</v>
      </c>
      <c r="H24" s="2843"/>
      <c r="I24" s="2843"/>
      <c r="J24" s="2843"/>
      <c r="K24" s="279"/>
      <c r="L24" s="2120"/>
      <c r="M24" s="2120"/>
      <c r="N24" s="2120"/>
    </row>
    <row r="25" spans="1:14" s="2121" customFormat="1" ht="13.5" customHeight="1">
      <c r="A25" s="2878" t="s">
        <v>1862</v>
      </c>
      <c r="B25" s="3063" t="s">
        <v>2841</v>
      </c>
      <c r="C25" s="467">
        <f>ROUND(F25/(1+'数据-取费表'!C42),4)</f>
        <v>2.9000000000000001E-2</v>
      </c>
      <c r="D25" s="462" t="s">
        <v>2835</v>
      </c>
      <c r="E25" s="469"/>
      <c r="F25" s="2884">
        <f>'数据-取费表'!B48+'数据-取费表'!B49</f>
        <v>3.0499999999999999E-2</v>
      </c>
      <c r="G25" s="2848" t="s">
        <v>2292</v>
      </c>
      <c r="H25" s="2841"/>
      <c r="I25" s="2841"/>
      <c r="J25" s="2841"/>
      <c r="K25" s="2842"/>
    </row>
    <row r="26" spans="1:14" s="2120" customFormat="1" ht="13.5" customHeight="1">
      <c r="A26" s="2878" t="s">
        <v>1863</v>
      </c>
      <c r="B26" s="3064" t="s">
        <v>2842</v>
      </c>
      <c r="C26" s="2885">
        <f ca="1">C28</f>
        <v>259</v>
      </c>
      <c r="D26" s="467">
        <f ca="1">C27</f>
        <v>0.1537</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0.1537</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2844</v>
      </c>
      <c r="C28" s="2888">
        <f ca="1">ROUND(IF('数据-取费表'!B22&lt;=1,(C18+C19+C20+C23+C24)*F26*'数据-取费表'!B24/2,(C18+C19+C20+C23+C24)*(POWER((1+F26),'数据-取费表'!B24/2)-1)),0)</f>
        <v>259</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ROUND(C6*F29/(1+'数据-取费表'!C42),0)</f>
        <v>830</v>
      </c>
      <c r="D29" s="468"/>
      <c r="E29" s="468"/>
      <c r="F29" s="3065">
        <f>'数据-取费表'!B41</f>
        <v>5.6000000000000001E-2</v>
      </c>
      <c r="G29" s="2849" t="s">
        <v>498</v>
      </c>
      <c r="H29" s="2841"/>
      <c r="I29" s="2841"/>
      <c r="J29" s="2841"/>
      <c r="K29" s="2842"/>
    </row>
    <row r="30" spans="1:14" s="2123" customFormat="1" ht="13.5" customHeight="1">
      <c r="A30" s="1636" t="s">
        <v>1865</v>
      </c>
      <c r="B30" s="2890" t="s">
        <v>500</v>
      </c>
      <c r="C30" s="2885">
        <f ca="1">C31</f>
        <v>4687</v>
      </c>
      <c r="D30" s="477">
        <f ca="1">C32</f>
        <v>0.1827</v>
      </c>
      <c r="E30" s="469" t="s">
        <v>495</v>
      </c>
      <c r="F30" s="471"/>
      <c r="G30" s="2840" t="s">
        <v>501</v>
      </c>
      <c r="H30" s="2841"/>
      <c r="I30" s="2841"/>
      <c r="J30" s="2841"/>
      <c r="K30" s="2842"/>
    </row>
    <row r="31" spans="1:14" s="2122" customFormat="1" ht="13.5" customHeight="1">
      <c r="A31" s="803" t="s">
        <v>1858</v>
      </c>
      <c r="B31" s="2886"/>
      <c r="C31" s="450">
        <f ca="1">C18+C19+C20+C23+C24+C26+C29</f>
        <v>4687</v>
      </c>
      <c r="D31" s="472"/>
      <c r="E31" s="473"/>
      <c r="F31" s="474"/>
      <c r="G31" s="261"/>
      <c r="H31" s="2843"/>
      <c r="I31" s="2843"/>
      <c r="J31" s="2843"/>
      <c r="K31" s="279"/>
    </row>
    <row r="32" spans="1:14" s="2122" customFormat="1" ht="13.5" customHeight="1">
      <c r="A32" s="803" t="s">
        <v>1859</v>
      </c>
      <c r="B32" s="2886"/>
      <c r="C32" s="53">
        <f ca="1">ROUND(C25+D26,4)</f>
        <v>0.1827</v>
      </c>
      <c r="D32" s="472"/>
      <c r="E32" s="473"/>
      <c r="F32" s="474"/>
      <c r="G32" s="261"/>
      <c r="H32" s="2843"/>
      <c r="I32" s="2843"/>
      <c r="J32" s="2843"/>
      <c r="K32" s="279"/>
    </row>
    <row r="33" spans="1:11" s="2124" customFormat="1" ht="13.5" customHeight="1">
      <c r="A33" s="3062" t="s">
        <v>2839</v>
      </c>
      <c r="B33" s="3060" t="s">
        <v>2837</v>
      </c>
      <c r="C33" s="478">
        <f ca="1">C35</f>
        <v>900</v>
      </c>
      <c r="D33" s="467">
        <f ca="1">C34</f>
        <v>0.25729999999999997</v>
      </c>
      <c r="E33" s="469" t="s">
        <v>495</v>
      </c>
      <c r="F33" s="479">
        <f ca="1">IF(B1="",'数据-取费表'!Q16,INDIRECT("'数据-取费表'!q"&amp;$K$1))</f>
        <v>0.25</v>
      </c>
      <c r="G33" s="2844"/>
      <c r="H33" s="2845"/>
      <c r="I33" s="2845"/>
      <c r="J33" s="2845"/>
      <c r="K33" s="2846"/>
    </row>
    <row r="34" spans="1:11" s="2125" customFormat="1" ht="13.5" customHeight="1">
      <c r="A34" s="375" t="s">
        <v>1858</v>
      </c>
      <c r="B34" s="2891" t="s">
        <v>502</v>
      </c>
      <c r="C34" s="472">
        <f ca="1">ROUND((1+C25)*F33,4)</f>
        <v>0.25729999999999997</v>
      </c>
      <c r="D34" s="472"/>
      <c r="E34" s="473"/>
      <c r="F34" s="480"/>
      <c r="G34" s="261" t="s">
        <v>2293</v>
      </c>
      <c r="H34" s="2843"/>
      <c r="I34" s="2843"/>
      <c r="J34" s="2843"/>
      <c r="K34" s="279"/>
    </row>
    <row r="35" spans="1:11" s="2125" customFormat="1" ht="13.5" customHeight="1" thickBot="1">
      <c r="A35" s="1637" t="s">
        <v>1859</v>
      </c>
      <c r="B35" s="3061" t="s">
        <v>2845</v>
      </c>
      <c r="C35" s="1629">
        <f ca="1">ROUND((C18+C19+C20+C23+C24)*F33,0)</f>
        <v>900</v>
      </c>
      <c r="D35" s="1630"/>
      <c r="E35" s="2892"/>
      <c r="F35" s="1631"/>
      <c r="G35" s="2850"/>
      <c r="H35" s="2851"/>
      <c r="I35" s="2851"/>
      <c r="J35" s="2851"/>
      <c r="K35" s="2852"/>
    </row>
    <row r="36" spans="1:11" s="2087" customFormat="1" ht="13.5" customHeight="1" thickBot="1">
      <c r="A36" s="284" t="s">
        <v>1846</v>
      </c>
      <c r="B36" s="2854"/>
      <c r="C36" s="2893">
        <f ca="1">ROUND((C6-C30-C33)/(1+D30+D33),0)</f>
        <v>6927</v>
      </c>
      <c r="D36" s="2854"/>
      <c r="E36" s="2854"/>
      <c r="F36" s="2854"/>
      <c r="G36" s="2853" t="s">
        <v>2846</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2" t="str">
        <f>项目基本情况!B1</f>
        <v>浙江省杭州市富阳区银湖街道大山脚村出让国有建设用地使用权抵押价格预评估</v>
      </c>
      <c r="C37" s="3182"/>
      <c r="D37" s="3182"/>
      <c r="E37" s="3182"/>
      <c r="F37" s="3182"/>
      <c r="G37" s="3182"/>
      <c r="H37" s="3182"/>
      <c r="I37" s="3182"/>
    </row>
    <row r="38" spans="1:9">
      <c r="A38" s="1657"/>
      <c r="B38" s="1657"/>
    </row>
    <row r="39" spans="1:9">
      <c r="A39" s="1655" t="s">
        <v>1903</v>
      </c>
      <c r="B39" s="1655" t="s">
        <v>2049</v>
      </c>
    </row>
    <row r="40" spans="1:9">
      <c r="A40" s="1655"/>
      <c r="B40" s="1655" t="str">
        <f>项目基本情况!B5</f>
        <v>杭州佳欣置业有限公司</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刘梅、吴薇</v>
      </c>
    </row>
    <row r="47" spans="1:9">
      <c r="A47" s="1655"/>
      <c r="B47" s="1655"/>
    </row>
    <row r="48" spans="1:9">
      <c r="A48" s="1655" t="s">
        <v>1903</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H19" zoomScale="80" zoomScaleNormal="80" workbookViewId="0">
      <selection activeCell="R47" sqref="R47:W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5" t="s">
        <v>3139</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15562</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19452</v>
      </c>
      <c r="C3" s="852" t="s">
        <v>723</v>
      </c>
      <c r="D3" s="851">
        <f>SUMIF('数据-汇总表'!$C19:$C33,D1,'数据-汇总表'!$E19:$E33)</f>
        <v>8000.25</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56" t="s">
        <v>523</v>
      </c>
      <c r="D4" s="3357"/>
      <c r="E4" s="3391" t="s">
        <v>524</v>
      </c>
      <c r="F4" s="3392"/>
      <c r="G4" s="3356" t="s">
        <v>525</v>
      </c>
      <c r="H4" s="3357"/>
      <c r="I4" s="3356" t="s">
        <v>526</v>
      </c>
      <c r="J4" s="3357"/>
      <c r="K4" s="853" t="s">
        <v>527</v>
      </c>
      <c r="L4" s="2135"/>
      <c r="M4" s="2136"/>
      <c r="N4" s="2136"/>
      <c r="O4" s="2136"/>
      <c r="P4" s="3358" t="s">
        <v>528</v>
      </c>
      <c r="Q4" s="3359"/>
      <c r="R4" s="3364" t="s">
        <v>524</v>
      </c>
      <c r="S4" s="3365"/>
      <c r="T4" s="3364" t="s">
        <v>525</v>
      </c>
      <c r="U4" s="3365"/>
      <c r="V4" s="3351" t="s">
        <v>526</v>
      </c>
      <c r="W4" s="3351"/>
      <c r="X4" s="1568"/>
      <c r="Y4" s="3364" t="s">
        <v>528</v>
      </c>
      <c r="Z4" s="3365"/>
      <c r="AA4" s="3353" t="s">
        <v>524</v>
      </c>
      <c r="AB4" s="3353" t="s">
        <v>525</v>
      </c>
      <c r="AC4" s="3353" t="s">
        <v>526</v>
      </c>
    </row>
    <row r="5" spans="1:29" ht="15" customHeight="1">
      <c r="A5" s="515"/>
      <c r="B5" s="516"/>
      <c r="C5" s="3372" t="s">
        <v>2933</v>
      </c>
      <c r="D5" s="3373"/>
      <c r="E5" s="3393" t="s">
        <v>3167</v>
      </c>
      <c r="F5" s="3394"/>
      <c r="G5" s="3393" t="s">
        <v>3141</v>
      </c>
      <c r="H5" s="3394"/>
      <c r="I5" s="3393" t="s">
        <v>3142</v>
      </c>
      <c r="J5" s="3394"/>
      <c r="K5" s="85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85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v>43074</v>
      </c>
      <c r="F7" s="522">
        <f>SUMIF(58:58,YEAR(E7)&amp;"-"&amp;MONTH(E7),59:59)</f>
        <v>100</v>
      </c>
      <c r="G7" s="523">
        <v>43074</v>
      </c>
      <c r="H7" s="520">
        <f>SUMIF(58:58,YEAR(G7)&amp;"-"&amp;MONTH(G7),59:59)</f>
        <v>100</v>
      </c>
      <c r="I7" s="523">
        <v>43074</v>
      </c>
      <c r="J7" s="520">
        <f>SUMIF(58:58,YEAR(I7)&amp;"-"&amp;MONTH(I7),59:59)</f>
        <v>100</v>
      </c>
      <c r="K7" s="855"/>
      <c r="L7" s="2137"/>
      <c r="M7" s="2138"/>
      <c r="N7" s="2138"/>
      <c r="O7" s="2138"/>
      <c r="P7" s="3381" t="s">
        <v>531</v>
      </c>
      <c r="Q7" s="3383"/>
      <c r="R7" s="1569" t="s">
        <v>13</v>
      </c>
      <c r="S7" s="1570">
        <f t="shared" ref="S7:S15" si="0">F7</f>
        <v>100</v>
      </c>
      <c r="T7" s="1569" t="s">
        <v>13</v>
      </c>
      <c r="U7" s="1570">
        <f t="shared" ref="U7:U15" si="1">H7</f>
        <v>100</v>
      </c>
      <c r="V7" s="1569" t="s">
        <v>13</v>
      </c>
      <c r="W7" s="1570">
        <f t="shared" ref="W7:W15" si="2">J7</f>
        <v>100</v>
      </c>
      <c r="X7" s="1571"/>
      <c r="Y7" s="3381" t="s">
        <v>531</v>
      </c>
      <c r="Z7" s="3382"/>
      <c r="AA7" s="1572">
        <f>D7/F7</f>
        <v>1</v>
      </c>
      <c r="AB7" s="1572">
        <f>D7/H7</f>
        <v>1</v>
      </c>
      <c r="AC7" s="1572">
        <f>D7/J7</f>
        <v>1</v>
      </c>
    </row>
    <row r="8" spans="1:29" s="1220" customFormat="1" ht="15.75" thickBot="1">
      <c r="A8" s="2941"/>
      <c r="B8" s="2948" t="s">
        <v>532</v>
      </c>
      <c r="C8" s="525" t="s">
        <v>577</v>
      </c>
      <c r="D8" s="520">
        <v>100</v>
      </c>
      <c r="E8" s="856" t="s">
        <v>3077</v>
      </c>
      <c r="F8" s="522">
        <f>SUMIF(61:61,E8,62:62)-SUMIF(61:61,C8,62:62)+100</f>
        <v>100</v>
      </c>
      <c r="G8" s="525" t="s">
        <v>3077</v>
      </c>
      <c r="H8" s="520">
        <f>SUMIF(61:61,G8,62:62)-SUMIF(61:61,C8,62:62)+100</f>
        <v>100</v>
      </c>
      <c r="I8" s="856" t="s">
        <v>3077</v>
      </c>
      <c r="J8" s="520">
        <f>SUMIF(61:61,I8,62:62)-SUMIF(61:61,C8,62:62)+100</f>
        <v>100</v>
      </c>
      <c r="K8" s="855"/>
      <c r="L8" s="2137"/>
      <c r="M8" s="2138"/>
      <c r="N8" s="2138"/>
      <c r="O8" s="2138"/>
      <c r="P8" s="3381" t="s">
        <v>534</v>
      </c>
      <c r="Q8" s="3382"/>
      <c r="R8" s="1569" t="s">
        <v>13</v>
      </c>
      <c r="S8" s="1570">
        <f t="shared" si="0"/>
        <v>100</v>
      </c>
      <c r="T8" s="1569" t="s">
        <v>13</v>
      </c>
      <c r="U8" s="1570">
        <f t="shared" si="1"/>
        <v>100</v>
      </c>
      <c r="V8" s="1569" t="s">
        <v>13</v>
      </c>
      <c r="W8" s="1570">
        <f t="shared" si="2"/>
        <v>100</v>
      </c>
      <c r="X8" s="1571"/>
      <c r="Y8" s="3381" t="s">
        <v>534</v>
      </c>
      <c r="Z8" s="3382"/>
      <c r="AA8" s="1572">
        <f t="shared" ref="AA8:AA46" si="3">D8/F8</f>
        <v>1</v>
      </c>
      <c r="AB8" s="1572">
        <f t="shared" ref="AB8:AB46" si="4">D8/H8</f>
        <v>1</v>
      </c>
      <c r="AC8" s="1572">
        <f t="shared" ref="AC8:AC46" si="5">D8/J8</f>
        <v>1</v>
      </c>
    </row>
    <row r="9" spans="1:29" s="1220" customFormat="1" ht="15">
      <c r="A9" s="2942"/>
      <c r="B9" s="2949" t="s">
        <v>2762</v>
      </c>
      <c r="C9" s="3169" t="s">
        <v>3080</v>
      </c>
      <c r="D9" s="254">
        <v>100</v>
      </c>
      <c r="E9" s="858" t="s">
        <v>924</v>
      </c>
      <c r="F9" s="859">
        <f>SUMIF(63:63,E9,64:64)-SUMIF(63:63,C9,64:64)+100</f>
        <v>100</v>
      </c>
      <c r="G9" s="860" t="s">
        <v>924</v>
      </c>
      <c r="H9" s="254">
        <f>SUMIF(63:63,G9,64:64)-SUMIF(63:63,C9,64:64)+100</f>
        <v>100</v>
      </c>
      <c r="I9" s="860" t="s">
        <v>924</v>
      </c>
      <c r="J9" s="254">
        <f>SUMIF(63:63,I9,64:64)-SUMIF(63:63,C9,64:64)+100</f>
        <v>100</v>
      </c>
      <c r="K9" s="855"/>
      <c r="L9" s="2137"/>
      <c r="M9" s="2138"/>
      <c r="N9" s="2138"/>
      <c r="O9" s="2139"/>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t="s">
        <v>3140</v>
      </c>
      <c r="D10" s="255">
        <v>100</v>
      </c>
      <c r="E10" s="862" t="s">
        <v>3153</v>
      </c>
      <c r="F10" s="863">
        <f>SUMIF(65:65,E10,66:66)-SUMIF(65:65,C10,66:66)+100</f>
        <v>101</v>
      </c>
      <c r="G10" s="861" t="s">
        <v>3083</v>
      </c>
      <c r="H10" s="255">
        <f>SUMIF(65:65,G10,66:66)-SUMIF(65:65,C10,66:66)+100</f>
        <v>102</v>
      </c>
      <c r="I10" s="861" t="s">
        <v>3153</v>
      </c>
      <c r="J10" s="255">
        <f>SUMIF(65:65,I10,66:66)-SUMIF(65:65,C10,66:66)+100</f>
        <v>101</v>
      </c>
      <c r="K10" s="864">
        <v>1</v>
      </c>
      <c r="L10" s="2140"/>
      <c r="M10" s="2180"/>
      <c r="N10" s="2180"/>
      <c r="O10" s="2141"/>
      <c r="P10" s="3350"/>
      <c r="Q10" s="1151" t="str">
        <f t="shared" si="6"/>
        <v>土地使用年限（年）</v>
      </c>
      <c r="R10" s="1569" t="s">
        <v>8</v>
      </c>
      <c r="S10" s="1570">
        <f t="shared" si="0"/>
        <v>101</v>
      </c>
      <c r="T10" s="1569" t="s">
        <v>8</v>
      </c>
      <c r="U10" s="1570">
        <f t="shared" si="1"/>
        <v>102</v>
      </c>
      <c r="V10" s="1569" t="s">
        <v>8</v>
      </c>
      <c r="W10" s="1570">
        <f t="shared" si="2"/>
        <v>101</v>
      </c>
      <c r="X10" s="1571"/>
      <c r="Y10" s="3296"/>
      <c r="Z10" s="1150" t="str">
        <f t="shared" si="7"/>
        <v>土地使用年限（年）</v>
      </c>
      <c r="AA10" s="1572">
        <f t="shared" si="3"/>
        <v>0.99009900990099009</v>
      </c>
      <c r="AB10" s="1572">
        <f t="shared" si="4"/>
        <v>0.98039215686274506</v>
      </c>
      <c r="AC10" s="1572">
        <f t="shared" si="5"/>
        <v>0.99009900990099009</v>
      </c>
    </row>
    <row r="11" spans="1:29" ht="15">
      <c r="A11" s="2944"/>
      <c r="B11" s="2948" t="s">
        <v>2764</v>
      </c>
      <c r="C11" s="533"/>
      <c r="D11" s="255">
        <v>100</v>
      </c>
      <c r="E11" s="534"/>
      <c r="F11" s="863">
        <f>LOOKUP(E11,68:68,69:69)-LOOKUP(C11,68:68,69:69)+100</f>
        <v>100</v>
      </c>
      <c r="G11" s="533"/>
      <c r="H11" s="255">
        <f>LOOKUP(G11,68:68,69:69)-LOOKUP(C11,68:68,69:69)+100</f>
        <v>100</v>
      </c>
      <c r="I11" s="533"/>
      <c r="J11" s="255">
        <f>LOOKUP(I11,68:68,69:69)-LOOKUP(C11,68:68,69:69)+100</f>
        <v>100</v>
      </c>
      <c r="K11" s="864">
        <v>1</v>
      </c>
      <c r="L11" s="2142"/>
      <c r="M11" s="2136"/>
      <c r="N11" s="2136"/>
      <c r="O11" s="2143"/>
      <c r="P11" s="3350"/>
      <c r="Q11" s="1151" t="str">
        <f t="shared" si="6"/>
        <v>容积率</v>
      </c>
      <c r="R11" s="1569" t="s">
        <v>11</v>
      </c>
      <c r="S11" s="1570">
        <f t="shared" si="0"/>
        <v>100</v>
      </c>
      <c r="T11" s="1569" t="s">
        <v>11</v>
      </c>
      <c r="U11" s="1570">
        <f t="shared" si="1"/>
        <v>100</v>
      </c>
      <c r="V11" s="1569" t="s">
        <v>11</v>
      </c>
      <c r="W11" s="1570">
        <f t="shared" si="2"/>
        <v>100</v>
      </c>
      <c r="X11" s="1571"/>
      <c r="Y11" s="3296"/>
      <c r="Z11" s="1150" t="str">
        <f t="shared" si="7"/>
        <v>容积率</v>
      </c>
      <c r="AA11" s="1572">
        <f t="shared" si="3"/>
        <v>1</v>
      </c>
      <c r="AB11" s="1572">
        <f t="shared" si="4"/>
        <v>1</v>
      </c>
      <c r="AC11" s="1572">
        <f t="shared" si="5"/>
        <v>1</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0"/>
      <c r="Q12" s="1151">
        <f t="shared" si="6"/>
        <v>111</v>
      </c>
      <c r="R12" s="1569" t="s">
        <v>11</v>
      </c>
      <c r="S12" s="1570">
        <f t="shared" si="0"/>
        <v>100</v>
      </c>
      <c r="T12" s="1569" t="s">
        <v>11</v>
      </c>
      <c r="U12" s="1570">
        <f t="shared" si="1"/>
        <v>100</v>
      </c>
      <c r="V12" s="1569" t="s">
        <v>11</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0"/>
      <c r="Q13" s="1151">
        <f t="shared" si="6"/>
        <v>111</v>
      </c>
      <c r="R13" s="1569" t="s">
        <v>11</v>
      </c>
      <c r="S13" s="1570">
        <f t="shared" si="0"/>
        <v>100</v>
      </c>
      <c r="T13" s="1569" t="s">
        <v>11</v>
      </c>
      <c r="U13" s="1570">
        <f t="shared" si="1"/>
        <v>100</v>
      </c>
      <c r="V13" s="1569" t="s">
        <v>11</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0"/>
      <c r="Q14" s="1151">
        <f t="shared" si="6"/>
        <v>111</v>
      </c>
      <c r="R14" s="1569" t="s">
        <v>11</v>
      </c>
      <c r="S14" s="1570">
        <f t="shared" si="0"/>
        <v>100</v>
      </c>
      <c r="T14" s="1569" t="s">
        <v>11</v>
      </c>
      <c r="U14" s="1570">
        <f t="shared" si="1"/>
        <v>100</v>
      </c>
      <c r="V14" s="1569" t="s">
        <v>11</v>
      </c>
      <c r="W14" s="1570">
        <f t="shared" si="2"/>
        <v>100</v>
      </c>
      <c r="X14" s="1571"/>
      <c r="Y14" s="3296"/>
      <c r="Z14" s="1150">
        <f t="shared" si="7"/>
        <v>111</v>
      </c>
      <c r="AA14" s="1572">
        <f t="shared" si="3"/>
        <v>1</v>
      </c>
      <c r="AB14" s="1572">
        <f t="shared" si="4"/>
        <v>1</v>
      </c>
      <c r="AC14" s="1572">
        <f t="shared" si="5"/>
        <v>1</v>
      </c>
    </row>
    <row r="15" spans="1:29" ht="114">
      <c r="A15" s="2938" t="s">
        <v>2760</v>
      </c>
      <c r="B15" s="166" t="s">
        <v>295</v>
      </c>
      <c r="C15" s="867" t="str">
        <f>估价对象房地状况!C3</f>
        <v>估价对象周边居住用地比例一般、居住小区有九龙山庄、颐景山庄、鸣翠蓝湾等，综合评价居住社区成熟度一般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384" t="s">
        <v>541</v>
      </c>
      <c r="Q15" s="1573" t="str">
        <f t="shared" si="6"/>
        <v>居住社区成熟度</v>
      </c>
      <c r="R15" s="1574" t="s">
        <v>11</v>
      </c>
      <c r="S15" s="1575">
        <f t="shared" si="0"/>
        <v>100</v>
      </c>
      <c r="T15" s="1574" t="s">
        <v>11</v>
      </c>
      <c r="U15" s="1575">
        <f t="shared" si="1"/>
        <v>100</v>
      </c>
      <c r="V15" s="1574" t="s">
        <v>11</v>
      </c>
      <c r="W15" s="1575">
        <f t="shared" si="2"/>
        <v>100</v>
      </c>
      <c r="X15" s="1568"/>
      <c r="Y15" s="3384" t="s">
        <v>541</v>
      </c>
      <c r="Z15" s="1576" t="str">
        <f t="shared" si="7"/>
        <v>居住社区成熟度</v>
      </c>
      <c r="AA15" s="1577">
        <f t="shared" si="3"/>
        <v>1</v>
      </c>
      <c r="AB15" s="1577">
        <f t="shared" si="4"/>
        <v>1</v>
      </c>
      <c r="AC15" s="1577">
        <f t="shared" si="5"/>
        <v>1</v>
      </c>
    </row>
    <row r="16" spans="1:29" ht="15">
      <c r="A16" s="532"/>
      <c r="B16" s="869"/>
      <c r="C16" s="576" t="s">
        <v>3130</v>
      </c>
      <c r="D16" s="555"/>
      <c r="E16" s="556" t="s">
        <v>3130</v>
      </c>
      <c r="F16" s="557"/>
      <c r="G16" s="558" t="s">
        <v>3130</v>
      </c>
      <c r="H16" s="559"/>
      <c r="I16" s="556" t="s">
        <v>3130</v>
      </c>
      <c r="J16" s="555"/>
      <c r="K16" s="870"/>
      <c r="L16" s="2144"/>
      <c r="M16" s="2136"/>
      <c r="N16" s="2136"/>
      <c r="O16" s="2143"/>
      <c r="P16" s="3385"/>
      <c r="Q16" s="1573"/>
      <c r="R16" s="1574"/>
      <c r="S16" s="1575"/>
      <c r="T16" s="1574"/>
      <c r="U16" s="1575"/>
      <c r="V16" s="1574"/>
      <c r="W16" s="1575"/>
      <c r="X16" s="1568"/>
      <c r="Y16" s="3385"/>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t="s">
        <v>3130</v>
      </c>
      <c r="D18" s="559"/>
      <c r="E18" s="568" t="s">
        <v>3130</v>
      </c>
      <c r="F18" s="563"/>
      <c r="G18" s="569" t="s">
        <v>3130</v>
      </c>
      <c r="H18" s="555"/>
      <c r="I18" s="568" t="s">
        <v>3130</v>
      </c>
      <c r="J18" s="555"/>
      <c r="K18" s="870"/>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t="s">
        <v>3130</v>
      </c>
      <c r="D20" s="555"/>
      <c r="E20" s="556" t="s">
        <v>3130</v>
      </c>
      <c r="F20" s="557"/>
      <c r="G20" s="558" t="s">
        <v>3130</v>
      </c>
      <c r="H20" s="555"/>
      <c r="I20" s="556" t="s">
        <v>3130</v>
      </c>
      <c r="J20" s="555"/>
      <c r="K20" s="870"/>
      <c r="L20" s="2144"/>
      <c r="M20" s="2136"/>
      <c r="N20" s="2136"/>
      <c r="O20" s="2143"/>
      <c r="P20" s="3385"/>
      <c r="Q20" s="1573"/>
      <c r="R20" s="1574"/>
      <c r="S20" s="1575"/>
      <c r="T20" s="1574"/>
      <c r="U20" s="1575"/>
      <c r="V20" s="1574"/>
      <c r="W20" s="1575"/>
      <c r="X20" s="1568"/>
      <c r="Y20" s="3385"/>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385"/>
      <c r="Q21" s="2605" t="str">
        <f>B21</f>
        <v>基础设施水平</v>
      </c>
      <c r="R21" s="1574" t="s">
        <v>11</v>
      </c>
      <c r="S21" s="1575">
        <f>F21</f>
        <v>100</v>
      </c>
      <c r="T21" s="1574" t="s">
        <v>11</v>
      </c>
      <c r="U21" s="1575">
        <f>H21</f>
        <v>100</v>
      </c>
      <c r="V21" s="1574" t="s">
        <v>11</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922"/>
      <c r="C22" s="873" t="s">
        <v>3131</v>
      </c>
      <c r="D22" s="555"/>
      <c r="E22" s="576" t="s">
        <v>3131</v>
      </c>
      <c r="F22" s="557"/>
      <c r="G22" s="576" t="s">
        <v>3131</v>
      </c>
      <c r="H22" s="555"/>
      <c r="I22" s="576" t="s">
        <v>3131</v>
      </c>
      <c r="J22" s="555"/>
      <c r="K22" s="2625"/>
      <c r="L22" s="2144"/>
      <c r="M22" s="2136"/>
      <c r="N22" s="2136"/>
      <c r="O22" s="2143"/>
      <c r="P22" s="3385"/>
      <c r="Q22" s="2605"/>
      <c r="R22" s="1574"/>
      <c r="S22" s="1575"/>
      <c r="T22" s="1574"/>
      <c r="U22" s="1575"/>
      <c r="V22" s="1574"/>
      <c r="W22" s="1575"/>
      <c r="X22" s="2607"/>
      <c r="Y22" s="3385"/>
      <c r="Z22" s="2606"/>
      <c r="AA22" s="1577">
        <v>1</v>
      </c>
      <c r="AB22" s="1577">
        <v>1</v>
      </c>
      <c r="AC22" s="1577">
        <v>1</v>
      </c>
    </row>
    <row r="23" spans="1:29" ht="57">
      <c r="A23" s="532"/>
      <c r="B23" s="871" t="s">
        <v>297</v>
      </c>
      <c r="C23" s="872"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t="s">
        <v>3129</v>
      </c>
      <c r="D24" s="555"/>
      <c r="E24" s="556" t="s">
        <v>3129</v>
      </c>
      <c r="F24" s="557"/>
      <c r="G24" s="558" t="s">
        <v>3129</v>
      </c>
      <c r="H24" s="555"/>
      <c r="I24" s="556" t="s">
        <v>3129</v>
      </c>
      <c r="J24" s="555"/>
      <c r="K24" s="870"/>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2</v>
      </c>
      <c r="L25" s="2144"/>
      <c r="M25" s="2136"/>
      <c r="N25" s="2136"/>
      <c r="O25" s="2143"/>
      <c r="P25" s="3385"/>
      <c r="Q25" s="1573" t="str">
        <f t="shared" ref="Q25:Q46" si="11">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v>2</v>
      </c>
      <c r="L26" s="2144"/>
      <c r="M26" s="2136"/>
      <c r="N26" s="2136"/>
      <c r="O26" s="2143"/>
      <c r="P26" s="3385"/>
      <c r="Q26" s="1573" t="str">
        <f t="shared" si="11"/>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5"/>
      <c r="Q27" s="1151" t="str">
        <f t="shared" si="11"/>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5"/>
      <c r="Q29" s="1573">
        <f t="shared" si="11"/>
        <v>111</v>
      </c>
      <c r="R29" s="1574" t="s">
        <v>11</v>
      </c>
      <c r="S29" s="1575">
        <f t="shared" si="12"/>
        <v>100</v>
      </c>
      <c r="T29" s="1574" t="s">
        <v>11</v>
      </c>
      <c r="U29" s="1575">
        <f t="shared" si="13"/>
        <v>100</v>
      </c>
      <c r="V29" s="1574" t="s">
        <v>11</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5"/>
      <c r="Q30" s="1573">
        <f t="shared" si="11"/>
        <v>111</v>
      </c>
      <c r="R30" s="1574" t="s">
        <v>11</v>
      </c>
      <c r="S30" s="1575">
        <f t="shared" si="12"/>
        <v>100</v>
      </c>
      <c r="T30" s="1574" t="s">
        <v>11</v>
      </c>
      <c r="U30" s="1575">
        <f t="shared" si="13"/>
        <v>100</v>
      </c>
      <c r="V30" s="1574" t="s">
        <v>11</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5"/>
      <c r="Q31" s="1573">
        <f t="shared" si="11"/>
        <v>111</v>
      </c>
      <c r="R31" s="1574" t="s">
        <v>11</v>
      </c>
      <c r="S31" s="1575">
        <f t="shared" si="12"/>
        <v>100</v>
      </c>
      <c r="T31" s="1574" t="s">
        <v>11</v>
      </c>
      <c r="U31" s="1575">
        <f t="shared" si="13"/>
        <v>100</v>
      </c>
      <c r="V31" s="1574" t="s">
        <v>11</v>
      </c>
      <c r="W31" s="1575">
        <f t="shared" si="14"/>
        <v>100</v>
      </c>
      <c r="X31" s="1568"/>
      <c r="Y31" s="3385"/>
      <c r="Z31" s="1576">
        <f t="shared" si="15"/>
        <v>111</v>
      </c>
      <c r="AA31" s="1577">
        <f t="shared" si="3"/>
        <v>1</v>
      </c>
      <c r="AB31" s="1577">
        <f t="shared" si="4"/>
        <v>1</v>
      </c>
      <c r="AC31" s="1577">
        <f t="shared" si="5"/>
        <v>1</v>
      </c>
    </row>
    <row r="32" spans="1:29" ht="15">
      <c r="A32" s="2935" t="s">
        <v>2761</v>
      </c>
      <c r="B32" s="172" t="s">
        <v>726</v>
      </c>
      <c r="C32" s="878" t="s">
        <v>3151</v>
      </c>
      <c r="D32" s="597">
        <v>100</v>
      </c>
      <c r="E32" s="879" t="s">
        <v>3151</v>
      </c>
      <c r="F32" s="575">
        <f>SUMIF(100:100,E32,101:101)-SUMIF(100:100,C32,101:101)+100</f>
        <v>100</v>
      </c>
      <c r="G32" s="878" t="s">
        <v>3151</v>
      </c>
      <c r="H32" s="597">
        <f>SUMIF(100:100,G32,101:101)-SUMIF(100:100,C32,101:101)+100</f>
        <v>100</v>
      </c>
      <c r="I32" s="879" t="s">
        <v>3151</v>
      </c>
      <c r="J32" s="540">
        <f>SUMIF(100:100,I32,101:101)-SUMIF(100:100,C32,101:101)+100</f>
        <v>100</v>
      </c>
      <c r="K32" s="864">
        <v>5</v>
      </c>
      <c r="L32" s="2144"/>
      <c r="M32" s="2136"/>
      <c r="N32" s="2136"/>
      <c r="O32" s="2143"/>
      <c r="P32" s="3386" t="s">
        <v>551</v>
      </c>
      <c r="Q32" s="1573" t="str">
        <f t="shared" si="11"/>
        <v>建筑类型</v>
      </c>
      <c r="R32" s="1574" t="s">
        <v>11</v>
      </c>
      <c r="S32" s="1575">
        <f t="shared" si="12"/>
        <v>100</v>
      </c>
      <c r="T32" s="1574" t="s">
        <v>11</v>
      </c>
      <c r="U32" s="1575">
        <f t="shared" si="13"/>
        <v>100</v>
      </c>
      <c r="V32" s="1574" t="s">
        <v>11</v>
      </c>
      <c r="W32" s="1575">
        <f t="shared" si="14"/>
        <v>100</v>
      </c>
      <c r="X32" s="1568"/>
      <c r="Y32" s="3387"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2"/>
      <c r="M33" s="2173"/>
      <c r="N33" s="2173"/>
      <c r="O33" s="2145"/>
      <c r="P33" s="3387"/>
      <c r="Q33" s="1606" t="str">
        <f t="shared" si="11"/>
        <v>项目建筑规模</v>
      </c>
      <c r="R33" s="1578" t="s">
        <v>11</v>
      </c>
      <c r="S33" s="1579">
        <f t="shared" si="12"/>
        <v>100</v>
      </c>
      <c r="T33" s="1578" t="s">
        <v>11</v>
      </c>
      <c r="U33" s="1579">
        <f t="shared" si="13"/>
        <v>100</v>
      </c>
      <c r="V33" s="1578" t="s">
        <v>11</v>
      </c>
      <c r="W33" s="1579">
        <f t="shared" si="14"/>
        <v>100</v>
      </c>
      <c r="X33" s="1580"/>
      <c r="Y33" s="3387"/>
      <c r="Z33" s="1581" t="str">
        <f t="shared" si="15"/>
        <v>项目建筑规模</v>
      </c>
      <c r="AA33" s="1577">
        <f t="shared" si="3"/>
        <v>1</v>
      </c>
      <c r="AB33" s="1577">
        <f t="shared" si="4"/>
        <v>1</v>
      </c>
      <c r="AC33" s="1577">
        <f t="shared" si="5"/>
        <v>1</v>
      </c>
    </row>
    <row r="34" spans="1:29" ht="15">
      <c r="A34" s="594"/>
      <c r="B34" s="527" t="s">
        <v>728</v>
      </c>
      <c r="C34" s="881" t="s">
        <v>3154</v>
      </c>
      <c r="D34" s="540">
        <v>100</v>
      </c>
      <c r="E34" s="882" t="s">
        <v>3154</v>
      </c>
      <c r="F34" s="575">
        <f>SUMIF(105:105,E34,106:106)-SUMIF(105:105,C34,106:106)+100</f>
        <v>100</v>
      </c>
      <c r="G34" s="881" t="s">
        <v>3154</v>
      </c>
      <c r="H34" s="540">
        <f>SUMIF(105:105,G34,106:106)-SUMIF(105:105,C34,106:106)+100</f>
        <v>100</v>
      </c>
      <c r="I34" s="882" t="s">
        <v>3154</v>
      </c>
      <c r="J34" s="540">
        <f>SUMIF(105:105,I34,106:106)-SUMIF(105:105,C34,106:106)+100</f>
        <v>100</v>
      </c>
      <c r="K34" s="864">
        <v>1</v>
      </c>
      <c r="L34" s="2144"/>
      <c r="M34" s="2136"/>
      <c r="N34" s="2136"/>
      <c r="O34" s="2143"/>
      <c r="P34" s="3387"/>
      <c r="Q34" s="1573" t="str">
        <f t="shared" si="11"/>
        <v>建筑结构</v>
      </c>
      <c r="R34" s="1574" t="s">
        <v>11</v>
      </c>
      <c r="S34" s="1575">
        <f t="shared" si="12"/>
        <v>100</v>
      </c>
      <c r="T34" s="1574" t="s">
        <v>11</v>
      </c>
      <c r="U34" s="1575">
        <f t="shared" si="13"/>
        <v>100</v>
      </c>
      <c r="V34" s="1574" t="s">
        <v>11</v>
      </c>
      <c r="W34" s="1575">
        <f t="shared" si="14"/>
        <v>100</v>
      </c>
      <c r="X34" s="1568"/>
      <c r="Y34" s="3387"/>
      <c r="Z34" s="1576" t="str">
        <f t="shared" si="15"/>
        <v>建筑结构</v>
      </c>
      <c r="AA34" s="1577">
        <f t="shared" si="3"/>
        <v>1</v>
      </c>
      <c r="AB34" s="1577">
        <f t="shared" si="4"/>
        <v>1</v>
      </c>
      <c r="AC34" s="1577">
        <f t="shared" si="5"/>
        <v>1</v>
      </c>
    </row>
    <row r="35" spans="1:29" ht="15">
      <c r="A35" s="594"/>
      <c r="B35" s="527" t="s">
        <v>729</v>
      </c>
      <c r="C35" s="599" t="s">
        <v>3157</v>
      </c>
      <c r="D35" s="540">
        <v>100</v>
      </c>
      <c r="E35" s="874" t="s">
        <v>3157</v>
      </c>
      <c r="F35" s="575">
        <f>SUMIF(107:107,E35,108:108)-SUMIF(107:107,C35,108:108)+100</f>
        <v>100</v>
      </c>
      <c r="G35" s="599" t="s">
        <v>3157</v>
      </c>
      <c r="H35" s="540">
        <f>SUMIF(107:107,G35,108:108)-SUMIF(107:107,C35,108:108)+100</f>
        <v>100</v>
      </c>
      <c r="I35" s="874" t="s">
        <v>3157</v>
      </c>
      <c r="J35" s="540">
        <f>SUMIF(107:107,I35,108:108)-SUMIF(107:107,C35,108:108)+100</f>
        <v>100</v>
      </c>
      <c r="K35" s="864">
        <v>1</v>
      </c>
      <c r="L35" s="2144"/>
      <c r="M35" s="2136"/>
      <c r="N35" s="2136"/>
      <c r="O35" s="2143"/>
      <c r="P35" s="3387"/>
      <c r="Q35" s="1573" t="str">
        <f t="shared" si="11"/>
        <v>建筑品质</v>
      </c>
      <c r="R35" s="1574" t="s">
        <v>11</v>
      </c>
      <c r="S35" s="1575">
        <f t="shared" si="12"/>
        <v>100</v>
      </c>
      <c r="T35" s="1574" t="s">
        <v>11</v>
      </c>
      <c r="U35" s="1575">
        <f t="shared" si="13"/>
        <v>100</v>
      </c>
      <c r="V35" s="1574" t="s">
        <v>11</v>
      </c>
      <c r="W35" s="1575">
        <f t="shared" si="14"/>
        <v>100</v>
      </c>
      <c r="X35" s="1568"/>
      <c r="Y35" s="3387"/>
      <c r="Z35" s="1576" t="str">
        <f t="shared" si="15"/>
        <v>建筑品质</v>
      </c>
      <c r="AA35" s="1577">
        <f t="shared" si="3"/>
        <v>1</v>
      </c>
      <c r="AB35" s="1577">
        <f t="shared" si="4"/>
        <v>1</v>
      </c>
      <c r="AC35" s="1577">
        <f t="shared" si="5"/>
        <v>1</v>
      </c>
    </row>
    <row r="36" spans="1:29" ht="15">
      <c r="A36" s="594"/>
      <c r="B36" s="527" t="s">
        <v>730</v>
      </c>
      <c r="C36" s="599" t="s">
        <v>3159</v>
      </c>
      <c r="D36" s="540">
        <v>100</v>
      </c>
      <c r="E36" s="874" t="s">
        <v>3159</v>
      </c>
      <c r="F36" s="575">
        <f>SUMIF(109:109,E36,110:110)-SUMIF(109:109,C36,110:110)+100</f>
        <v>100</v>
      </c>
      <c r="G36" s="599" t="s">
        <v>3159</v>
      </c>
      <c r="H36" s="540">
        <f>SUMIF(109:109,G36,110:110)-SUMIF(109:109,C36,110:110)+100</f>
        <v>100</v>
      </c>
      <c r="I36" s="874" t="s">
        <v>3159</v>
      </c>
      <c r="J36" s="540">
        <f>SUMIF(109:109,I36,110:110)-SUMIF(109:109,C36,110:110)+100</f>
        <v>100</v>
      </c>
      <c r="K36" s="864">
        <v>1</v>
      </c>
      <c r="L36" s="2144"/>
      <c r="M36" s="2136"/>
      <c r="N36" s="2136"/>
      <c r="O36" s="2143"/>
      <c r="P36" s="3387"/>
      <c r="Q36" s="1573" t="str">
        <f t="shared" si="11"/>
        <v>公共部分装修</v>
      </c>
      <c r="R36" s="1574" t="s">
        <v>11</v>
      </c>
      <c r="S36" s="1575">
        <f t="shared" si="12"/>
        <v>100</v>
      </c>
      <c r="T36" s="1574" t="s">
        <v>11</v>
      </c>
      <c r="U36" s="1575">
        <f t="shared" si="13"/>
        <v>100</v>
      </c>
      <c r="V36" s="1574" t="s">
        <v>11</v>
      </c>
      <c r="W36" s="1575">
        <f t="shared" si="14"/>
        <v>100</v>
      </c>
      <c r="X36" s="1568"/>
      <c r="Y36" s="3387"/>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0.77</v>
      </c>
      <c r="F37" s="863">
        <f>LOOKUP(E37,112:112,113:113)-LOOKUP(C37,112:112,113:113)+100</f>
        <v>96</v>
      </c>
      <c r="G37" s="885">
        <v>0.8</v>
      </c>
      <c r="H37" s="255">
        <f>LOOKUP(G37,112:112,113:113)-LOOKUP(C37,112:112,113:113)+100</f>
        <v>98</v>
      </c>
      <c r="I37" s="884">
        <v>0.82</v>
      </c>
      <c r="J37" s="255">
        <f>LOOKUP(I37,112:112,113:113)-LOOKUP(C37,112:112,113:113)+100</f>
        <v>98</v>
      </c>
      <c r="K37" s="864">
        <v>2</v>
      </c>
      <c r="L37" s="2137"/>
      <c r="M37" s="2138"/>
      <c r="N37" s="2138"/>
      <c r="O37" s="2139"/>
      <c r="P37" s="3387"/>
      <c r="Q37" s="1151" t="str">
        <f t="shared" si="11"/>
        <v>成新度</v>
      </c>
      <c r="R37" s="1569" t="s">
        <v>11</v>
      </c>
      <c r="S37" s="1570">
        <f t="shared" si="12"/>
        <v>96</v>
      </c>
      <c r="T37" s="1569" t="s">
        <v>11</v>
      </c>
      <c r="U37" s="1570">
        <f t="shared" si="13"/>
        <v>98</v>
      </c>
      <c r="V37" s="1569" t="s">
        <v>11</v>
      </c>
      <c r="W37" s="1570">
        <f t="shared" si="14"/>
        <v>98</v>
      </c>
      <c r="X37" s="1571"/>
      <c r="Y37" s="3387"/>
      <c r="Z37" s="1150" t="str">
        <f t="shared" si="15"/>
        <v>成新度</v>
      </c>
      <c r="AA37" s="1572">
        <f t="shared" si="3"/>
        <v>1.0416666666666667</v>
      </c>
      <c r="AB37" s="1572">
        <f t="shared" si="4"/>
        <v>1.0204081632653061</v>
      </c>
      <c r="AC37" s="1572">
        <f t="shared" si="5"/>
        <v>1.0204081632653061</v>
      </c>
    </row>
    <row r="38" spans="1:29" ht="15">
      <c r="A38" s="594"/>
      <c r="B38" s="527" t="s">
        <v>732</v>
      </c>
      <c r="C38" s="599" t="s">
        <v>3165</v>
      </c>
      <c r="D38" s="540">
        <v>100</v>
      </c>
      <c r="E38" s="874" t="s">
        <v>3165</v>
      </c>
      <c r="F38" s="575">
        <f>SUMIF(114:114,E38,115:115)-SUMIF(114:114,C38,115:115)+100</f>
        <v>100</v>
      </c>
      <c r="G38" s="599" t="s">
        <v>3165</v>
      </c>
      <c r="H38" s="540">
        <f>SUMIF(114:114,G38,115:115)-SUMIF(114:114,C38,115:115)+100</f>
        <v>100</v>
      </c>
      <c r="I38" s="874" t="s">
        <v>3165</v>
      </c>
      <c r="J38" s="540">
        <f>SUMIF(114:114,I38,115:115)-SUMIF(114:114,C38,115:115)+100</f>
        <v>100</v>
      </c>
      <c r="K38" s="864">
        <v>1</v>
      </c>
      <c r="L38" s="2144"/>
      <c r="M38" s="2136"/>
      <c r="N38" s="2136"/>
      <c r="O38" s="2143"/>
      <c r="P38" s="3387" t="s">
        <v>551</v>
      </c>
      <c r="Q38" s="1573" t="str">
        <f t="shared" si="11"/>
        <v>物业管理</v>
      </c>
      <c r="R38" s="1574" t="s">
        <v>11</v>
      </c>
      <c r="S38" s="1575">
        <f t="shared" si="12"/>
        <v>100</v>
      </c>
      <c r="T38" s="1574" t="s">
        <v>11</v>
      </c>
      <c r="U38" s="1575">
        <f t="shared" si="13"/>
        <v>100</v>
      </c>
      <c r="V38" s="1574" t="s">
        <v>11</v>
      </c>
      <c r="W38" s="1575">
        <f t="shared" si="14"/>
        <v>100</v>
      </c>
      <c r="X38" s="1568"/>
      <c r="Y38" s="3387" t="s">
        <v>551</v>
      </c>
      <c r="Z38" s="1576" t="str">
        <f t="shared" si="15"/>
        <v>物业管理</v>
      </c>
      <c r="AA38" s="1577">
        <f t="shared" si="3"/>
        <v>1</v>
      </c>
      <c r="AB38" s="1577">
        <f t="shared" si="4"/>
        <v>1</v>
      </c>
      <c r="AC38" s="1577">
        <f t="shared" si="5"/>
        <v>1</v>
      </c>
    </row>
    <row r="39" spans="1:29" ht="15">
      <c r="A39" s="594"/>
      <c r="B39" s="1897" t="s">
        <v>2569</v>
      </c>
      <c r="C39" s="599" t="s">
        <v>3131</v>
      </c>
      <c r="D39" s="540">
        <v>100</v>
      </c>
      <c r="E39" s="874" t="s">
        <v>3131</v>
      </c>
      <c r="F39" s="575">
        <f>SUMIF(116:116,E39,117:117)-SUMIF(116:116,C39,117:117)+100</f>
        <v>100</v>
      </c>
      <c r="G39" s="599" t="s">
        <v>3131</v>
      </c>
      <c r="H39" s="540">
        <f>SUMIF(116:116,G39,117:117)-SUMIF(116:116,C39,117:117)+100</f>
        <v>100</v>
      </c>
      <c r="I39" s="874" t="s">
        <v>3131</v>
      </c>
      <c r="J39" s="540">
        <f>SUMIF(116:116,I39,117:117)-SUMIF(116:116,C39,117:117)+100</f>
        <v>100</v>
      </c>
      <c r="K39" s="864">
        <v>1</v>
      </c>
      <c r="L39" s="2144"/>
      <c r="M39" s="2136"/>
      <c r="N39" s="2136"/>
      <c r="O39" s="2143"/>
      <c r="P39" s="3387"/>
      <c r="Q39" s="1573" t="str">
        <f t="shared" si="11"/>
        <v>市政基础设施</v>
      </c>
      <c r="R39" s="1574" t="s">
        <v>11</v>
      </c>
      <c r="S39" s="1575">
        <f t="shared" si="12"/>
        <v>100</v>
      </c>
      <c r="T39" s="1574" t="s">
        <v>11</v>
      </c>
      <c r="U39" s="1575">
        <f t="shared" si="13"/>
        <v>100</v>
      </c>
      <c r="V39" s="1574" t="s">
        <v>11</v>
      </c>
      <c r="W39" s="1575">
        <f t="shared" si="14"/>
        <v>100</v>
      </c>
      <c r="X39" s="1568"/>
      <c r="Y39" s="3387"/>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44"/>
      <c r="M40" s="2136"/>
      <c r="N40" s="2136"/>
      <c r="O40" s="2143"/>
      <c r="P40" s="3387"/>
      <c r="Q40" s="1573" t="str">
        <f t="shared" si="11"/>
        <v>房型</v>
      </c>
      <c r="R40" s="1574" t="s">
        <v>11</v>
      </c>
      <c r="S40" s="1575">
        <f t="shared" si="12"/>
        <v>100</v>
      </c>
      <c r="T40" s="1574" t="s">
        <v>11</v>
      </c>
      <c r="U40" s="1575">
        <f t="shared" si="13"/>
        <v>100</v>
      </c>
      <c r="V40" s="1574" t="s">
        <v>11</v>
      </c>
      <c r="W40" s="1575">
        <f t="shared" si="14"/>
        <v>100</v>
      </c>
      <c r="X40" s="1568"/>
      <c r="Y40" s="3387"/>
      <c r="Z40" s="1576" t="str">
        <f t="shared" si="15"/>
        <v>房型</v>
      </c>
      <c r="AA40" s="1577">
        <f t="shared" si="3"/>
        <v>1</v>
      </c>
      <c r="AB40" s="1577">
        <f t="shared" si="4"/>
        <v>1</v>
      </c>
      <c r="AC40" s="1577">
        <f t="shared" si="5"/>
        <v>1</v>
      </c>
    </row>
    <row r="41" spans="1:29" s="1339" customFormat="1" ht="28.5" hidden="1">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87"/>
      <c r="Q41" s="1606" t="str">
        <f t="shared" si="11"/>
        <v>单套/主力户型建筑面积</v>
      </c>
      <c r="R41" s="1578" t="s">
        <v>11</v>
      </c>
      <c r="S41" s="1579">
        <f t="shared" si="12"/>
        <v>100</v>
      </c>
      <c r="T41" s="1578" t="s">
        <v>11</v>
      </c>
      <c r="U41" s="1579">
        <f t="shared" si="13"/>
        <v>100</v>
      </c>
      <c r="V41" s="1578" t="s">
        <v>11</v>
      </c>
      <c r="W41" s="1579">
        <f t="shared" si="14"/>
        <v>100</v>
      </c>
      <c r="X41" s="1580"/>
      <c r="Y41" s="3387"/>
      <c r="Z41" s="1581" t="str">
        <f t="shared" si="15"/>
        <v>单套/主力户型建筑面积</v>
      </c>
      <c r="AA41" s="1577">
        <f t="shared" si="3"/>
        <v>1</v>
      </c>
      <c r="AB41" s="1577">
        <f t="shared" si="4"/>
        <v>1</v>
      </c>
      <c r="AC41" s="1577">
        <f t="shared" si="5"/>
        <v>1</v>
      </c>
    </row>
    <row r="42" spans="1:29" ht="15">
      <c r="A42" s="594"/>
      <c r="B42" s="527" t="s">
        <v>735</v>
      </c>
      <c r="C42" s="599" t="s">
        <v>3163</v>
      </c>
      <c r="D42" s="540">
        <v>100</v>
      </c>
      <c r="E42" s="874" t="s">
        <v>3163</v>
      </c>
      <c r="F42" s="575">
        <f>SUMIF(122:122,E42,123:123)-SUMIF(122:122,C42,123:123)+100</f>
        <v>100</v>
      </c>
      <c r="G42" s="599" t="s">
        <v>3168</v>
      </c>
      <c r="H42" s="540">
        <f>SUMIF(122:122,G42,123:123)-SUMIF(122:122,C42,123:123)+100</f>
        <v>102</v>
      </c>
      <c r="I42" s="874" t="s">
        <v>3163</v>
      </c>
      <c r="J42" s="540">
        <f>SUMIF(122:122,I42,123:123)-SUMIF(122:122,C42,123:123)+100</f>
        <v>100</v>
      </c>
      <c r="K42" s="864">
        <v>1</v>
      </c>
      <c r="L42" s="2144"/>
      <c r="M42" s="2136"/>
      <c r="N42" s="2136"/>
      <c r="O42" s="2143"/>
      <c r="P42" s="3387"/>
      <c r="Q42" s="1573" t="str">
        <f t="shared" si="11"/>
        <v>内部装修</v>
      </c>
      <c r="R42" s="1574" t="s">
        <v>11</v>
      </c>
      <c r="S42" s="1575">
        <f t="shared" si="12"/>
        <v>100</v>
      </c>
      <c r="T42" s="1574" t="s">
        <v>11</v>
      </c>
      <c r="U42" s="1575">
        <f t="shared" si="13"/>
        <v>102</v>
      </c>
      <c r="V42" s="1574" t="s">
        <v>11</v>
      </c>
      <c r="W42" s="1575">
        <f t="shared" si="14"/>
        <v>100</v>
      </c>
      <c r="X42" s="1568"/>
      <c r="Y42" s="3387"/>
      <c r="Z42" s="1576" t="str">
        <f t="shared" si="15"/>
        <v>内部装修</v>
      </c>
      <c r="AA42" s="1577">
        <f t="shared" si="3"/>
        <v>1</v>
      </c>
      <c r="AB42" s="1577">
        <f t="shared" si="4"/>
        <v>0.98039215686274506</v>
      </c>
      <c r="AC42" s="1577">
        <f t="shared" si="5"/>
        <v>1</v>
      </c>
    </row>
    <row r="43" spans="1:29" ht="27">
      <c r="A43" s="594"/>
      <c r="B43" s="527" t="s">
        <v>736</v>
      </c>
      <c r="C43" s="599" t="s">
        <v>3129</v>
      </c>
      <c r="D43" s="540">
        <v>100</v>
      </c>
      <c r="E43" s="874" t="s">
        <v>3129</v>
      </c>
      <c r="F43" s="575">
        <f>SUMIF(124:124,E43,125:125)-SUMIF(124:124,C43,125:125)+100</f>
        <v>100</v>
      </c>
      <c r="G43" s="599" t="s">
        <v>3129</v>
      </c>
      <c r="H43" s="540">
        <f>SUMIF(124:124,G43,125:125)-SUMIF(124:124,C43,125:125)+100</f>
        <v>100</v>
      </c>
      <c r="I43" s="874" t="s">
        <v>3129</v>
      </c>
      <c r="J43" s="540">
        <f>SUMIF(124:124,I43,125:125)-SUMIF(124:124,C43,125:125)+100</f>
        <v>100</v>
      </c>
      <c r="K43" s="864">
        <v>1</v>
      </c>
      <c r="L43" s="2144"/>
      <c r="M43" s="2136"/>
      <c r="N43" s="2136"/>
      <c r="O43" s="2143"/>
      <c r="P43" s="3387"/>
      <c r="Q43" s="1573" t="str">
        <f t="shared" si="11"/>
        <v>内部装修维护情况</v>
      </c>
      <c r="R43" s="1574" t="s">
        <v>11</v>
      </c>
      <c r="S43" s="1575">
        <f t="shared" si="12"/>
        <v>100</v>
      </c>
      <c r="T43" s="1574" t="s">
        <v>11</v>
      </c>
      <c r="U43" s="1575">
        <f t="shared" si="13"/>
        <v>100</v>
      </c>
      <c r="V43" s="1574" t="s">
        <v>11</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87"/>
      <c r="Q44" s="1151">
        <f t="shared" si="11"/>
        <v>111</v>
      </c>
      <c r="R44" s="1569" t="s">
        <v>11</v>
      </c>
      <c r="S44" s="1570">
        <f t="shared" si="12"/>
        <v>100</v>
      </c>
      <c r="T44" s="1569" t="s">
        <v>11</v>
      </c>
      <c r="U44" s="1570">
        <f t="shared" si="13"/>
        <v>100</v>
      </c>
      <c r="V44" s="1569" t="s">
        <v>11</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7"/>
      <c r="Q45" s="1573">
        <f t="shared" si="11"/>
        <v>111</v>
      </c>
      <c r="R45" s="1574" t="s">
        <v>11</v>
      </c>
      <c r="S45" s="1575">
        <f t="shared" si="12"/>
        <v>100</v>
      </c>
      <c r="T45" s="1574" t="s">
        <v>11</v>
      </c>
      <c r="U45" s="1575">
        <f t="shared" si="13"/>
        <v>100</v>
      </c>
      <c r="V45" s="1574" t="s">
        <v>11</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45">
        <v>2003</v>
      </c>
      <c r="F46" s="866">
        <f>SUMIF(130:130,E46,131:131)-SUMIF(130:130,C46,131:131)+100</f>
        <v>100</v>
      </c>
      <c r="G46" s="545">
        <v>2005</v>
      </c>
      <c r="H46" s="546">
        <f>SUMIF(130:130,G46,131:131)-SUMIF(130:130,C46,131:131)+100</f>
        <v>100</v>
      </c>
      <c r="I46" s="545">
        <v>2006</v>
      </c>
      <c r="J46" s="546">
        <f>SUMIF(130:130,I46,131:131)-SUMIF(130:130,C46,131:131)+100</f>
        <v>100</v>
      </c>
      <c r="K46" s="865"/>
      <c r="L46" s="2144"/>
      <c r="M46" s="2136"/>
      <c r="N46" s="2136"/>
      <c r="O46" s="2143"/>
      <c r="P46" s="3390"/>
      <c r="Q46" s="1573">
        <f t="shared" si="11"/>
        <v>111</v>
      </c>
      <c r="R46" s="1574" t="s">
        <v>10</v>
      </c>
      <c r="S46" s="1575">
        <f t="shared" si="12"/>
        <v>100</v>
      </c>
      <c r="T46" s="1574" t="s">
        <v>10</v>
      </c>
      <c r="U46" s="1575">
        <f t="shared" si="13"/>
        <v>100</v>
      </c>
      <c r="V46" s="1574" t="s">
        <v>10</v>
      </c>
      <c r="W46" s="1575">
        <f t="shared" si="14"/>
        <v>100</v>
      </c>
      <c r="X46" s="1568"/>
      <c r="Y46" s="3390"/>
      <c r="Z46" s="1576">
        <f t="shared" si="15"/>
        <v>111</v>
      </c>
      <c r="AA46" s="1577">
        <f t="shared" si="3"/>
        <v>1</v>
      </c>
      <c r="AB46" s="1577">
        <f t="shared" si="4"/>
        <v>1</v>
      </c>
      <c r="AC46" s="1577">
        <f t="shared" si="5"/>
        <v>1</v>
      </c>
    </row>
    <row r="47" spans="1:29" ht="15">
      <c r="A47" s="607" t="s">
        <v>737</v>
      </c>
      <c r="B47" s="887"/>
      <c r="C47" s="2653" t="s">
        <v>9</v>
      </c>
      <c r="D47" s="2654"/>
      <c r="E47" s="2655">
        <v>18000</v>
      </c>
      <c r="F47" s="2656"/>
      <c r="G47" s="2657">
        <v>21000</v>
      </c>
      <c r="H47" s="2658"/>
      <c r="I47" s="2655">
        <v>19000</v>
      </c>
      <c r="J47" s="2658"/>
      <c r="K47" s="1607"/>
      <c r="L47" s="2146"/>
      <c r="M47" s="2147"/>
      <c r="N47" s="2136"/>
      <c r="O47" s="2147"/>
      <c r="P47" s="3350" t="str">
        <f>A47</f>
        <v>成交单价（元/平方米）</v>
      </c>
      <c r="Q47" s="3350"/>
      <c r="R47" s="3389">
        <f>E47</f>
        <v>18000</v>
      </c>
      <c r="S47" s="3389"/>
      <c r="T47" s="3389">
        <f>G47</f>
        <v>21000</v>
      </c>
      <c r="U47" s="3389"/>
      <c r="V47" s="3389">
        <f>I47</f>
        <v>19000</v>
      </c>
      <c r="W47" s="3389"/>
      <c r="X47" s="1560"/>
      <c r="Y47" s="1582"/>
      <c r="Z47" s="1560"/>
      <c r="AA47" s="1560"/>
      <c r="AB47" s="1560"/>
      <c r="AC47" s="1560"/>
    </row>
    <row r="48" spans="1:29" ht="15.75" thickBot="1">
      <c r="A48" s="615" t="s">
        <v>2766</v>
      </c>
      <c r="B48" s="888"/>
      <c r="C48" s="2659">
        <f>R49</f>
        <v>19452</v>
      </c>
      <c r="D48" s="2660"/>
      <c r="E48" s="2661">
        <f>R48</f>
        <v>18564</v>
      </c>
      <c r="F48" s="2661"/>
      <c r="G48" s="2659">
        <f>T48</f>
        <v>20596</v>
      </c>
      <c r="H48" s="2660"/>
      <c r="I48" s="2661">
        <f>V48</f>
        <v>19196</v>
      </c>
      <c r="J48" s="2660"/>
      <c r="K48" s="1608"/>
      <c r="L48" s="2146"/>
      <c r="M48" s="2147"/>
      <c r="N48" s="2147"/>
      <c r="O48" s="2147"/>
      <c r="P48" s="3350" t="str">
        <f>A48</f>
        <v>比较价格（元/平方米）</v>
      </c>
      <c r="Q48" s="3350"/>
      <c r="R48" s="3389">
        <f>IF(F1="售价",ROUND(PRODUCT(R47,AA7:AA46),0),ROUND(PRODUCT(R47,AA7:AA46),1))</f>
        <v>18564</v>
      </c>
      <c r="S48" s="3389"/>
      <c r="T48" s="3389">
        <f>IF(F1="售价",ROUND(PRODUCT(T47,AB7:AB46),0),ROUND(PRODUCT(T47,AB7:AB46),1))</f>
        <v>20596</v>
      </c>
      <c r="U48" s="3389"/>
      <c r="V48" s="3389">
        <f>IF(F1="售价",ROUND(PRODUCT(V47,AC7:AC46),0),ROUND(PRODUCT(V47,AC7:AC46),1))</f>
        <v>19196</v>
      </c>
      <c r="W48" s="3389"/>
      <c r="X48" s="1560"/>
      <c r="Y48" s="1560"/>
      <c r="Z48" s="1560"/>
      <c r="AA48" s="1560"/>
      <c r="AB48" s="1560"/>
      <c r="AC48" s="1560"/>
    </row>
    <row r="49" spans="1:29" ht="15.75" thickBot="1">
      <c r="A49" s="621" t="s">
        <v>3138</v>
      </c>
      <c r="B49" s="622"/>
      <c r="C49" s="2662">
        <f>R49</f>
        <v>19452</v>
      </c>
      <c r="D49" s="2662"/>
      <c r="E49" s="2662"/>
      <c r="F49" s="2662"/>
      <c r="G49" s="2662"/>
      <c r="H49" s="2662"/>
      <c r="I49" s="2662"/>
      <c r="J49" s="2662"/>
      <c r="K49" s="1609"/>
      <c r="L49" s="2146"/>
      <c r="M49" s="2147"/>
      <c r="N49" s="2147"/>
      <c r="O49" s="2147"/>
      <c r="P49" s="3347" t="str">
        <f>A49</f>
        <v>估价对象住宅用房的比较价格（楼面单价，元/平方米）</v>
      </c>
      <c r="Q49" s="3348"/>
      <c r="R49" s="3388">
        <f>IF(F1="售价",ROUND(AVERAGE(R48:V48),0),ROUND(AVERAGE(R48:V48),1))</f>
        <v>19452</v>
      </c>
      <c r="S49" s="3388"/>
      <c r="T49" s="3388"/>
      <c r="U49" s="3388"/>
      <c r="V49" s="3388"/>
      <c r="W49" s="338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3.1333333333333435E-2</v>
      </c>
      <c r="F52" s="627" t="str">
        <f>IF(OR(E52&gt;=0.3,E52&lt;=-0.3),"超过30%","")</f>
        <v/>
      </c>
      <c r="G52" s="626">
        <f>IF(G47&lt;G48,G48/G47-1,G47/G48-1)</f>
        <v>1.961545931248776E-2</v>
      </c>
      <c r="H52" s="627" t="str">
        <f>IF(OR(G52&gt;=0.3,G52&lt;=-0.3),"超过30%","")</f>
        <v/>
      </c>
      <c r="I52" s="626">
        <f>IF(I47&lt;I48,I48/I47-1,I47/I48-1)</f>
        <v>1.0315789473684278E-2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0.10945916828269775</v>
      </c>
      <c r="F53" s="627" t="str">
        <f>IF(OR(E53&gt;=0.2,E53&lt;=-0.2),"超过20%","")</f>
        <v/>
      </c>
      <c r="G53" s="626">
        <f>IF(G48&lt;I48,I48/G48-1,G48/I48-1)</f>
        <v>7.2931860804334336E-2</v>
      </c>
      <c r="H53" s="627" t="str">
        <f>IF(OR(G53&gt;=0.2,G53&lt;=-0.2),"超过20%","")</f>
        <v/>
      </c>
      <c r="I53" s="626">
        <f>IF(I48&lt;E48,E48/I48-1,I48/E48-1)</f>
        <v>3.4044386985563557E-2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0.16666666666666674</v>
      </c>
      <c r="F54" s="627" t="str">
        <f>IF(OR(E54&gt;=0.3,E54&lt;=-0.3),"超过30%","")</f>
        <v/>
      </c>
      <c r="G54" s="626">
        <f>IF(G47&lt;I47,I47/G47-1,G47/I47-1)</f>
        <v>0.10526315789473695</v>
      </c>
      <c r="H54" s="627" t="str">
        <f>IF(OR(G54&gt;=0.3,G54&lt;=-0.3),"超过30%","")</f>
        <v/>
      </c>
      <c r="I54" s="626">
        <f>IF(I47&lt;E47,E47/I47-1,I47/E47-1)</f>
        <v>5.555555555555558E-2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ht="27">
      <c r="A63" s="664" t="s">
        <v>578</v>
      </c>
      <c r="B63" s="665" t="s">
        <v>535</v>
      </c>
      <c r="C63" s="704" t="str">
        <f>C9</f>
        <v>住宅</v>
      </c>
      <c r="D63" s="3170" t="s">
        <v>3082</v>
      </c>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v>102</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684">
        <v>8</v>
      </c>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0" t="s">
        <v>3150</v>
      </c>
      <c r="D100" s="3170" t="s">
        <v>3152</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200000</v>
      </c>
      <c r="G103" s="730">
        <v>300000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99</v>
      </c>
      <c r="E104" s="671">
        <v>98</v>
      </c>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72" t="s">
        <v>3155</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71" t="s">
        <v>3156</v>
      </c>
      <c r="D107" s="3171" t="s">
        <v>3158</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72" t="s">
        <v>3160</v>
      </c>
      <c r="D109" s="3172" t="s">
        <v>3161</v>
      </c>
      <c r="E109" s="3172" t="s">
        <v>3162</v>
      </c>
      <c r="F109" s="3171" t="s">
        <v>3164</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72" t="s">
        <v>3166</v>
      </c>
      <c r="D114" s="3172" t="s">
        <v>3158</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2561</v>
      </c>
      <c r="C116" s="1376" t="s">
        <v>3088</v>
      </c>
      <c r="D116" s="1376" t="s">
        <v>3089</v>
      </c>
      <c r="E116" s="1376" t="s">
        <v>3090</v>
      </c>
      <c r="F116" s="1376" t="s">
        <v>3091</v>
      </c>
      <c r="G116" s="1376" t="s">
        <v>3092</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72" t="s">
        <v>3160</v>
      </c>
      <c r="D122" s="3172" t="s">
        <v>3161</v>
      </c>
      <c r="E122" s="3172" t="s">
        <v>3162</v>
      </c>
      <c r="F122" s="3171" t="s">
        <v>3164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2658</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2400</v>
      </c>
      <c r="D13" s="451"/>
      <c r="E13" s="365"/>
      <c r="F13" s="452"/>
      <c r="G13" s="444"/>
      <c r="H13" s="447"/>
      <c r="I13" s="447"/>
      <c r="J13" s="447"/>
      <c r="K13" s="448"/>
    </row>
    <row r="14" spans="1:41" s="2118" customFormat="1" ht="13.5" customHeight="1">
      <c r="A14" s="1634" t="s">
        <v>1851</v>
      </c>
      <c r="B14" s="449" t="s">
        <v>480</v>
      </c>
      <c r="C14" s="53">
        <f ca="1">ROUND(C13*F14,0)</f>
        <v>120</v>
      </c>
      <c r="D14" s="451"/>
      <c r="E14" s="365"/>
      <c r="F14" s="453">
        <f>'数据-取费表'!B33</f>
        <v>0.05</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120</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160</v>
      </c>
      <c r="D16" s="451">
        <f ca="1">IF(B1="",'数据-汇总表'!E3,INDIRECT("'数据-取费表'!K"&amp;$K$1)+INDIRECT("'数据-取费表'!S"&amp;$K$1))</f>
        <v>8000.25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36</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2836</v>
      </c>
      <c r="D18" s="461"/>
      <c r="E18" s="462"/>
      <c r="F18" s="462"/>
      <c r="G18" s="1327" t="s">
        <v>2435</v>
      </c>
      <c r="H18" s="447"/>
      <c r="I18" s="447"/>
      <c r="J18" s="447"/>
      <c r="K18" s="448"/>
    </row>
    <row r="19" spans="1:14" s="2121" customFormat="1" ht="13.5" customHeight="1">
      <c r="A19" s="1635" t="s">
        <v>1856</v>
      </c>
      <c r="B19" s="459" t="s">
        <v>493</v>
      </c>
      <c r="C19" s="460">
        <f ca="1">ROUND(C18*F19,0)</f>
        <v>85</v>
      </c>
      <c r="D19" s="462"/>
      <c r="E19" s="462"/>
      <c r="F19" s="466">
        <f>'数据-取费表'!B37</f>
        <v>0.03</v>
      </c>
      <c r="G19" s="444" t="s">
        <v>504</v>
      </c>
      <c r="H19" s="447"/>
      <c r="I19" s="447"/>
      <c r="J19" s="447"/>
      <c r="K19" s="448"/>
      <c r="L19" s="2123"/>
      <c r="M19" s="2123"/>
      <c r="N19" s="2123"/>
    </row>
    <row r="20" spans="1:14" s="2121" customFormat="1" ht="13.5" customHeight="1">
      <c r="A20" s="1635" t="s">
        <v>1857</v>
      </c>
      <c r="B20" s="459" t="s">
        <v>505</v>
      </c>
      <c r="C20" s="3058">
        <f>F20</f>
        <v>0.03</v>
      </c>
      <c r="D20" s="469" t="s">
        <v>506</v>
      </c>
      <c r="E20" s="469"/>
      <c r="F20" s="486">
        <f>'数据-取费表'!B38</f>
        <v>0.03</v>
      </c>
      <c r="G20" s="1327" t="s">
        <v>507</v>
      </c>
      <c r="H20" s="447"/>
      <c r="I20" s="447"/>
      <c r="J20" s="447"/>
      <c r="K20" s="448"/>
      <c r="L20" s="2123"/>
      <c r="M20" s="2123"/>
      <c r="N20" s="2123"/>
    </row>
    <row r="21" spans="1:14" s="2123" customFormat="1" ht="13.5" customHeight="1">
      <c r="A21" s="1635" t="s">
        <v>1860</v>
      </c>
      <c r="B21" s="461" t="s">
        <v>494</v>
      </c>
      <c r="C21" s="470">
        <f ca="1">C22</f>
        <v>211</v>
      </c>
      <c r="D21" s="467">
        <f ca="1">C23</f>
        <v>2.2000000000000001E-3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1850</v>
      </c>
      <c r="B22" s="1328" t="s">
        <v>2438</v>
      </c>
      <c r="C22" s="487">
        <f ca="1">ROUND(IF('数据-取费表'!B22&lt;=1,(C18+C19)*F21*'数据-取费表'!B20/2,(C18+C19)*(POWER((1+F21),'数据-取费表'!B20/2)-1)),0)</f>
        <v>211</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2.2000000000000001E-3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60" t="s">
        <v>2838</v>
      </c>
      <c r="C24" s="478">
        <f ca="1">C25</f>
        <v>730</v>
      </c>
      <c r="D24" s="489">
        <f ca="1">C26</f>
        <v>7.4999999999999997E-3</v>
      </c>
      <c r="E24" s="469" t="s">
        <v>508</v>
      </c>
      <c r="F24" s="479">
        <f ca="1">IF(B1="",'数据-取费表'!Q16,INDIRECT("'数据-取费表'!q"&amp;$K$1))</f>
        <v>0.25</v>
      </c>
      <c r="G24" s="444"/>
      <c r="H24" s="447"/>
      <c r="I24" s="447"/>
      <c r="J24" s="447"/>
      <c r="K24" s="448"/>
    </row>
    <row r="25" spans="1:14" s="2122" customFormat="1" ht="13.5" customHeight="1">
      <c r="A25" s="1634" t="s">
        <v>1850</v>
      </c>
      <c r="B25" s="1328" t="s">
        <v>2439</v>
      </c>
      <c r="C25" s="490">
        <f ca="1">ROUND((C18+C19)*F24,0)</f>
        <v>730</v>
      </c>
      <c r="D25" s="472"/>
      <c r="E25" s="473"/>
      <c r="F25" s="480"/>
      <c r="G25" s="1326" t="s">
        <v>2436</v>
      </c>
      <c r="H25" s="457"/>
      <c r="I25" s="457"/>
      <c r="J25" s="457"/>
      <c r="K25" s="458"/>
    </row>
    <row r="26" spans="1:14" s="2122" customFormat="1" ht="13.5" customHeight="1">
      <c r="A26" s="1634" t="s">
        <v>1851</v>
      </c>
      <c r="B26" s="1328" t="s">
        <v>510</v>
      </c>
      <c r="C26" s="491">
        <f ca="1">ROUND(F20*F24,4)</f>
        <v>7.4999999999999997E-3</v>
      </c>
      <c r="D26" s="472"/>
      <c r="E26" s="481"/>
      <c r="F26" s="480"/>
      <c r="G26" s="1326" t="s">
        <v>511</v>
      </c>
      <c r="H26" s="457"/>
      <c r="I26" s="457"/>
      <c r="J26" s="457"/>
      <c r="K26" s="458"/>
    </row>
    <row r="27" spans="1:14" s="2122" customFormat="1" ht="13.5" customHeight="1">
      <c r="A27" s="1638" t="s">
        <v>1869</v>
      </c>
      <c r="B27" s="459" t="s">
        <v>512</v>
      </c>
      <c r="C27" s="3059">
        <f>ROUND(F27/(1+'数据-取费表'!C42),4)</f>
        <v>5.33E-2</v>
      </c>
      <c r="D27" s="462" t="s">
        <v>2836</v>
      </c>
      <c r="E27" s="462"/>
      <c r="F27" s="466">
        <f>'数据-取费表'!B41</f>
        <v>5.6000000000000001E-2</v>
      </c>
      <c r="G27" s="1962" t="s">
        <v>2294</v>
      </c>
      <c r="H27" s="447"/>
      <c r="I27" s="447"/>
      <c r="J27" s="447"/>
      <c r="K27" s="448"/>
    </row>
    <row r="28" spans="1:14" s="2123" customFormat="1" ht="13.5" customHeight="1">
      <c r="A28" s="1638" t="s">
        <v>1870</v>
      </c>
      <c r="B28" s="476" t="s">
        <v>513</v>
      </c>
      <c r="C28" s="470">
        <f ca="1">ROUND((C18+C19+C21+C24)/(1-C20-D21-D24-C27),0)</f>
        <v>4258</v>
      </c>
      <c r="D28" s="477"/>
      <c r="E28" s="469"/>
      <c r="F28" s="471"/>
      <c r="G28" s="1327" t="s">
        <v>2437</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56" t="s">
        <v>523</v>
      </c>
      <c r="D6" s="3357"/>
      <c r="E6" s="3391" t="s">
        <v>524</v>
      </c>
      <c r="F6" s="3392"/>
      <c r="G6" s="3356" t="s">
        <v>525</v>
      </c>
      <c r="H6" s="3357"/>
      <c r="I6" s="3356" t="s">
        <v>526</v>
      </c>
      <c r="J6" s="3357"/>
      <c r="K6" s="514" t="s">
        <v>527</v>
      </c>
      <c r="L6" s="2135"/>
      <c r="M6" s="2136"/>
      <c r="N6" s="2136"/>
      <c r="O6" s="2136"/>
      <c r="P6" s="3358" t="s">
        <v>528</v>
      </c>
      <c r="Q6" s="3359"/>
      <c r="R6" s="3364" t="s">
        <v>524</v>
      </c>
      <c r="S6" s="3365"/>
      <c r="T6" s="3364" t="s">
        <v>525</v>
      </c>
      <c r="U6" s="3365"/>
      <c r="V6" s="3351" t="s">
        <v>526</v>
      </c>
      <c r="W6" s="3351"/>
      <c r="X6" s="1568"/>
      <c r="Y6" s="3364" t="s">
        <v>528</v>
      </c>
      <c r="Z6" s="3365"/>
      <c r="AA6" s="3353" t="s">
        <v>524</v>
      </c>
      <c r="AB6" s="3354" t="s">
        <v>525</v>
      </c>
      <c r="AC6" s="3353" t="s">
        <v>526</v>
      </c>
    </row>
    <row r="7" spans="1:29" ht="15">
      <c r="A7" s="515"/>
      <c r="B7" s="516"/>
      <c r="C7" s="3372" t="s">
        <v>2933</v>
      </c>
      <c r="D7" s="3373"/>
      <c r="E7" s="3397" t="s">
        <v>2934</v>
      </c>
      <c r="F7" s="3398"/>
      <c r="G7" s="3372" t="s">
        <v>2935</v>
      </c>
      <c r="H7" s="3373"/>
      <c r="I7" s="3372" t="s">
        <v>2936</v>
      </c>
      <c r="J7" s="3373"/>
      <c r="K7" s="514"/>
      <c r="L7" s="2135"/>
      <c r="M7" s="2136"/>
      <c r="N7" s="2136"/>
      <c r="O7" s="2136"/>
      <c r="P7" s="3360"/>
      <c r="Q7" s="3361"/>
      <c r="R7" s="3366"/>
      <c r="S7" s="3367"/>
      <c r="T7" s="3366"/>
      <c r="U7" s="3367"/>
      <c r="V7" s="3351"/>
      <c r="W7" s="3351"/>
      <c r="X7" s="1568"/>
      <c r="Y7" s="3366"/>
      <c r="Z7" s="3367"/>
      <c r="AA7" s="3354"/>
      <c r="AB7" s="3354"/>
      <c r="AC7" s="3354"/>
    </row>
    <row r="8" spans="1:29" ht="15.75" thickBot="1">
      <c r="A8" s="517"/>
      <c r="B8" s="518"/>
      <c r="C8" s="3370" t="s">
        <v>2937</v>
      </c>
      <c r="D8" s="3371"/>
      <c r="E8" s="3395" t="s">
        <v>2937</v>
      </c>
      <c r="F8" s="3396"/>
      <c r="G8" s="3370" t="s">
        <v>2937</v>
      </c>
      <c r="H8" s="3371"/>
      <c r="I8" s="3370" t="s">
        <v>2937</v>
      </c>
      <c r="J8" s="3371"/>
      <c r="K8" s="514" t="s">
        <v>529</v>
      </c>
      <c r="L8" s="2135"/>
      <c r="M8" s="2136"/>
      <c r="N8" s="2136"/>
      <c r="O8" s="2136"/>
      <c r="P8" s="3362"/>
      <c r="Q8" s="3363"/>
      <c r="R8" s="3366"/>
      <c r="S8" s="3367"/>
      <c r="T8" s="3368"/>
      <c r="U8" s="3369"/>
      <c r="V8" s="3351"/>
      <c r="W8" s="3351"/>
      <c r="X8" s="1568"/>
      <c r="Y8" s="3368"/>
      <c r="Z8" s="3369"/>
      <c r="AA8" s="3355"/>
      <c r="AB8" s="3355"/>
      <c r="AC8" s="3355"/>
    </row>
    <row r="9" spans="1:29" s="1220" customFormat="1" ht="15.75" thickBot="1">
      <c r="A9" s="2940"/>
      <c r="B9" s="2947" t="s">
        <v>530</v>
      </c>
      <c r="C9" s="519">
        <f>'数据-取费表'!B2</f>
        <v>43074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1" t="s">
        <v>531</v>
      </c>
      <c r="Q9" s="3383"/>
      <c r="R9" s="1569" t="s">
        <v>8</v>
      </c>
      <c r="S9" s="1570">
        <f t="shared" ref="S9:S17" si="0">F9</f>
        <v>0</v>
      </c>
      <c r="T9" s="1569" t="s">
        <v>8</v>
      </c>
      <c r="U9" s="1570">
        <f t="shared" ref="U9:U17" si="1">H9</f>
        <v>0</v>
      </c>
      <c r="V9" s="1569" t="s">
        <v>8</v>
      </c>
      <c r="W9" s="1570">
        <f t="shared" ref="W9:W17" si="2">J9</f>
        <v>0</v>
      </c>
      <c r="X9" s="1571"/>
      <c r="Y9" s="3381" t="s">
        <v>531</v>
      </c>
      <c r="Z9" s="3382"/>
      <c r="AA9" s="1572" t="e">
        <f>D9/F9</f>
        <v>#DIV/0!</v>
      </c>
      <c r="AB9" s="1572" t="e">
        <f>D9/H9</f>
        <v>#DIV/0!</v>
      </c>
      <c r="AC9" s="1572" t="e">
        <f>D9/J9</f>
        <v>#DIV/0!</v>
      </c>
    </row>
    <row r="10" spans="1:29" s="1220" customFormat="1" ht="15.75" thickBot="1">
      <c r="A10" s="2941"/>
      <c r="B10" s="2948"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1" t="s">
        <v>534</v>
      </c>
      <c r="Q10" s="3382"/>
      <c r="R10" s="1569" t="s">
        <v>8</v>
      </c>
      <c r="S10" s="1570">
        <f t="shared" si="0"/>
        <v>0</v>
      </c>
      <c r="T10" s="1569" t="s">
        <v>8</v>
      </c>
      <c r="U10" s="1570">
        <f t="shared" si="1"/>
        <v>0</v>
      </c>
      <c r="V10" s="1569" t="s">
        <v>8</v>
      </c>
      <c r="W10" s="1570">
        <f t="shared" si="2"/>
        <v>0</v>
      </c>
      <c r="X10" s="1571"/>
      <c r="Y10" s="3381" t="s">
        <v>534</v>
      </c>
      <c r="Z10" s="3382"/>
      <c r="AA10" s="1572" t="e">
        <f t="shared" ref="AA10:AA42" si="3">D10/F10</f>
        <v>#DIV/0!</v>
      </c>
      <c r="AB10" s="1572" t="e">
        <f t="shared" ref="AB10:AB42" si="4">D10/H10</f>
        <v>#DIV/0!</v>
      </c>
      <c r="AC10" s="1572" t="e">
        <f t="shared" ref="AC10:AC42" si="5">D10/J10</f>
        <v>#DIV/0!</v>
      </c>
    </row>
    <row r="11" spans="1:29" s="1220" customFormat="1" ht="15">
      <c r="A11" s="2942"/>
      <c r="B11" s="2949" t="s">
        <v>2762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0" t="s">
        <v>536</v>
      </c>
      <c r="Q11" s="1151" t="str">
        <f t="shared" ref="Q11:Q17" si="6">B11</f>
        <v>用途</v>
      </c>
      <c r="R11" s="1569" t="s">
        <v>8</v>
      </c>
      <c r="S11" s="1570">
        <f t="shared" si="0"/>
        <v>100</v>
      </c>
      <c r="T11" s="1569" t="s">
        <v>8</v>
      </c>
      <c r="U11" s="1570">
        <f t="shared" si="1"/>
        <v>100</v>
      </c>
      <c r="V11" s="1569" t="s">
        <v>8</v>
      </c>
      <c r="W11" s="1570">
        <f t="shared" si="2"/>
        <v>100</v>
      </c>
      <c r="X11" s="1571"/>
      <c r="Y11" s="3296" t="s">
        <v>537</v>
      </c>
      <c r="Z11" s="1150" t="str">
        <f t="shared" ref="Z11:Z17" si="7">Q11</f>
        <v>用途</v>
      </c>
      <c r="AA11" s="1572">
        <f t="shared" si="3"/>
        <v>1</v>
      </c>
      <c r="AB11" s="1572">
        <f t="shared" si="4"/>
        <v>1</v>
      </c>
      <c r="AC11" s="1572">
        <f t="shared" si="5"/>
        <v>1</v>
      </c>
    </row>
    <row r="12" spans="1:29" s="1338" customFormat="1" ht="27">
      <c r="A12" s="2943"/>
      <c r="B12" s="2948" t="s">
        <v>2763</v>
      </c>
      <c r="C12" s="528"/>
      <c r="D12" s="255">
        <v>100</v>
      </c>
      <c r="E12" s="528"/>
      <c r="F12" s="255">
        <f>ROUND(100/'数据-取费表'!G16,0)</f>
        <v>111</v>
      </c>
      <c r="G12" s="528"/>
      <c r="H12" s="255">
        <f>ROUND(100/'数据-取费表'!G16,0)</f>
        <v>111</v>
      </c>
      <c r="I12" s="528"/>
      <c r="J12" s="255">
        <f>ROUND(100/'数据-取费表'!G16,0)</f>
        <v>111</v>
      </c>
      <c r="K12" s="531"/>
      <c r="L12" s="2140"/>
      <c r="M12" s="2180"/>
      <c r="N12" s="2180"/>
      <c r="O12" s="2141"/>
      <c r="P12" s="3350"/>
      <c r="Q12" s="1151" t="str">
        <f t="shared" si="6"/>
        <v>土地使用年限（年）</v>
      </c>
      <c r="R12" s="1569" t="s">
        <v>8</v>
      </c>
      <c r="S12" s="1570">
        <f t="shared" si="0"/>
        <v>111</v>
      </c>
      <c r="T12" s="1569" t="s">
        <v>8</v>
      </c>
      <c r="U12" s="1570">
        <f t="shared" si="1"/>
        <v>111</v>
      </c>
      <c r="V12" s="1569" t="s">
        <v>8</v>
      </c>
      <c r="W12" s="1570">
        <f t="shared" si="2"/>
        <v>111</v>
      </c>
      <c r="X12" s="1571"/>
      <c r="Y12" s="3296"/>
      <c r="Z12" s="1150" t="str">
        <f t="shared" si="7"/>
        <v>土地使用年限（年）</v>
      </c>
      <c r="AA12" s="1572">
        <f t="shared" si="3"/>
        <v>0.90090090090090091</v>
      </c>
      <c r="AB12" s="1572">
        <f t="shared" si="4"/>
        <v>0.90090090090090091</v>
      </c>
      <c r="AC12" s="1572">
        <f t="shared" si="5"/>
        <v>0.90090090090090091</v>
      </c>
    </row>
    <row r="13" spans="1:29" ht="15">
      <c r="A13" s="2944"/>
      <c r="B13" s="2948"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0"/>
      <c r="Q13" s="1151" t="str">
        <f t="shared" si="6"/>
        <v>容积率</v>
      </c>
      <c r="R13" s="1569" t="s">
        <v>8</v>
      </c>
      <c r="S13" s="1570" t="e">
        <f t="shared" si="0"/>
        <v>#N/A</v>
      </c>
      <c r="T13" s="1569" t="s">
        <v>8</v>
      </c>
      <c r="U13" s="1570" t="e">
        <f t="shared" si="1"/>
        <v>#N/A</v>
      </c>
      <c r="V13" s="1569" t="s">
        <v>8</v>
      </c>
      <c r="W13" s="1570" t="e">
        <f t="shared" si="2"/>
        <v>#N/A</v>
      </c>
      <c r="X13" s="1571"/>
      <c r="Y13" s="3296"/>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 t="shared" si="3"/>
        <v>1</v>
      </c>
      <c r="AB16" s="1572">
        <f t="shared" si="4"/>
        <v>1</v>
      </c>
      <c r="AC16" s="1572">
        <f t="shared" si="5"/>
        <v>1</v>
      </c>
    </row>
    <row r="17" spans="1:29" ht="57">
      <c r="A17" s="2938"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4" t="s">
        <v>541</v>
      </c>
      <c r="Q17" s="1573" t="str">
        <f t="shared" si="6"/>
        <v>产业集聚程度</v>
      </c>
      <c r="R17" s="1574" t="s">
        <v>8</v>
      </c>
      <c r="S17" s="1575">
        <f t="shared" si="0"/>
        <v>100</v>
      </c>
      <c r="T17" s="1574" t="s">
        <v>8</v>
      </c>
      <c r="U17" s="1575">
        <f t="shared" si="1"/>
        <v>100</v>
      </c>
      <c r="V17" s="1574" t="s">
        <v>8</v>
      </c>
      <c r="W17" s="1575">
        <f t="shared" si="2"/>
        <v>100</v>
      </c>
      <c r="X17" s="1568"/>
      <c r="Y17" s="3384"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5"/>
      <c r="Q18" s="1573"/>
      <c r="R18" s="1574"/>
      <c r="S18" s="1575"/>
      <c r="T18" s="1574"/>
      <c r="U18" s="1575"/>
      <c r="V18" s="1574"/>
      <c r="W18" s="1575"/>
      <c r="X18" s="1568"/>
      <c r="Y18" s="3385"/>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5"/>
      <c r="Q22" s="1573"/>
      <c r="R22" s="1574"/>
      <c r="S22" s="1575"/>
      <c r="T22" s="1574"/>
      <c r="U22" s="1575"/>
      <c r="V22" s="1574"/>
      <c r="W22" s="1575"/>
      <c r="X22" s="1568"/>
      <c r="Y22" s="3385"/>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5"/>
      <c r="Q24" s="1573"/>
      <c r="R24" s="1574"/>
      <c r="S24" s="1575"/>
      <c r="T24" s="1574"/>
      <c r="U24" s="1575"/>
      <c r="V24" s="1574"/>
      <c r="W24" s="1575"/>
      <c r="X24" s="1568"/>
      <c r="Y24" s="3385"/>
      <c r="Z24" s="1576"/>
      <c r="AA24" s="1577">
        <v>1</v>
      </c>
      <c r="AB24" s="1577">
        <v>1</v>
      </c>
      <c r="AC24" s="1577">
        <v>1</v>
      </c>
    </row>
    <row r="25" spans="1:29" s="1220" customFormat="1" ht="42.75">
      <c r="A25" s="577"/>
      <c r="B25" s="2619"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85"/>
      <c r="Q26" s="1151"/>
      <c r="R26" s="1569"/>
      <c r="S26" s="1570"/>
      <c r="T26" s="1569"/>
      <c r="U26" s="1570"/>
      <c r="V26" s="1569"/>
      <c r="W26" s="1570"/>
      <c r="X26" s="1571"/>
      <c r="Y26" s="3385"/>
      <c r="Z26" s="1150"/>
      <c r="AA26" s="1572">
        <v>1</v>
      </c>
      <c r="AB26" s="1572">
        <v>1</v>
      </c>
      <c r="AC26" s="1572">
        <v>1</v>
      </c>
    </row>
    <row r="27" spans="1:29" s="1220" customFormat="1" ht="28.5">
      <c r="A27" s="577"/>
      <c r="B27" s="2619"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5"/>
      <c r="Q27" s="2604" t="str">
        <f t="shared" ref="Q27" si="9">B27</f>
        <v>基础设施水平</v>
      </c>
      <c r="R27" s="1569" t="s">
        <v>8</v>
      </c>
      <c r="S27" s="1570">
        <f>F27</f>
        <v>100</v>
      </c>
      <c r="T27" s="1569" t="s">
        <v>8</v>
      </c>
      <c r="U27" s="1570">
        <f>H27</f>
        <v>100</v>
      </c>
      <c r="V27" s="1569" t="s">
        <v>8</v>
      </c>
      <c r="W27" s="1570">
        <f>J27</f>
        <v>100</v>
      </c>
      <c r="X27" s="1571"/>
      <c r="Y27" s="3385"/>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85"/>
      <c r="Q28" s="2604"/>
      <c r="R28" s="1569"/>
      <c r="S28" s="1570"/>
      <c r="T28" s="1569"/>
      <c r="U28" s="1570"/>
      <c r="V28" s="1569"/>
      <c r="W28" s="1570"/>
      <c r="X28" s="1571"/>
      <c r="Y28" s="3385"/>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5"/>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5"/>
      <c r="Q30" s="1573" t="str">
        <f t="shared" si="8"/>
        <v>毗邻道路的类型与等级</v>
      </c>
      <c r="R30" s="1574" t="s">
        <v>8</v>
      </c>
      <c r="S30" s="1575">
        <f t="shared" si="10"/>
        <v>100</v>
      </c>
      <c r="T30" s="1574" t="s">
        <v>8</v>
      </c>
      <c r="U30" s="1575">
        <f t="shared" si="11"/>
        <v>100</v>
      </c>
      <c r="V30" s="1574" t="s">
        <v>8</v>
      </c>
      <c r="W30" s="1575">
        <f t="shared" si="12"/>
        <v>100</v>
      </c>
      <c r="X30" s="1568"/>
      <c r="Y30" s="3385"/>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85"/>
      <c r="Q31" s="1573"/>
      <c r="R31" s="1574"/>
      <c r="S31" s="1575"/>
      <c r="T31" s="1574"/>
      <c r="U31" s="1575"/>
      <c r="V31" s="1574"/>
      <c r="W31" s="1575"/>
      <c r="X31" s="1568"/>
      <c r="Y31" s="3385"/>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5"/>
      <c r="Q32" s="1573" t="str">
        <f t="shared" si="8"/>
        <v>土地级别</v>
      </c>
      <c r="R32" s="1574" t="s">
        <v>8</v>
      </c>
      <c r="S32" s="1575">
        <f t="shared" si="10"/>
        <v>100</v>
      </c>
      <c r="T32" s="1574" t="s">
        <v>8</v>
      </c>
      <c r="U32" s="1575">
        <f t="shared" si="11"/>
        <v>100</v>
      </c>
      <c r="V32" s="1574" t="s">
        <v>8</v>
      </c>
      <c r="W32" s="1575">
        <f t="shared" si="12"/>
        <v>100</v>
      </c>
      <c r="X32" s="1568"/>
      <c r="Y32" s="33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5"/>
      <c r="Q33" s="1573">
        <f t="shared" si="8"/>
        <v>111</v>
      </c>
      <c r="R33" s="1574" t="s">
        <v>8</v>
      </c>
      <c r="S33" s="1575">
        <f t="shared" si="10"/>
        <v>100</v>
      </c>
      <c r="T33" s="1574" t="s">
        <v>8</v>
      </c>
      <c r="U33" s="1575">
        <f t="shared" si="11"/>
        <v>100</v>
      </c>
      <c r="V33" s="1574" t="s">
        <v>8</v>
      </c>
      <c r="W33" s="1575">
        <f t="shared" si="12"/>
        <v>100</v>
      </c>
      <c r="X33" s="1568"/>
      <c r="Y33" s="33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6" t="s">
        <v>551</v>
      </c>
      <c r="Q34" s="1573">
        <f t="shared" si="8"/>
        <v>111</v>
      </c>
      <c r="R34" s="1574" t="s">
        <v>8</v>
      </c>
      <c r="S34" s="1575">
        <f t="shared" si="10"/>
        <v>100</v>
      </c>
      <c r="T34" s="1574" t="s">
        <v>8</v>
      </c>
      <c r="U34" s="1575">
        <f t="shared" si="11"/>
        <v>100</v>
      </c>
      <c r="V34" s="1574" t="s">
        <v>8</v>
      </c>
      <c r="W34" s="1575">
        <f t="shared" si="12"/>
        <v>100</v>
      </c>
      <c r="X34" s="1568"/>
      <c r="Y34" s="3387"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7"/>
      <c r="Q35" s="1573">
        <f t="shared" si="8"/>
        <v>111</v>
      </c>
      <c r="R35" s="1578" t="s">
        <v>8</v>
      </c>
      <c r="S35" s="1579">
        <f t="shared" si="10"/>
        <v>100</v>
      </c>
      <c r="T35" s="1578" t="s">
        <v>8</v>
      </c>
      <c r="U35" s="1579">
        <f t="shared" si="11"/>
        <v>100</v>
      </c>
      <c r="V35" s="1578" t="s">
        <v>8</v>
      </c>
      <c r="W35" s="1579">
        <f t="shared" si="12"/>
        <v>100</v>
      </c>
      <c r="X35" s="1580"/>
      <c r="Y35" s="3387"/>
      <c r="Z35" s="1581">
        <f t="shared" si="13"/>
        <v>111</v>
      </c>
      <c r="AA35" s="1577">
        <f t="shared" si="3"/>
        <v>1</v>
      </c>
      <c r="AB35" s="1577">
        <f t="shared" si="4"/>
        <v>1</v>
      </c>
      <c r="AC35" s="1577">
        <f t="shared" si="5"/>
        <v>1</v>
      </c>
    </row>
    <row r="36" spans="1:29" ht="15">
      <c r="A36" s="2935"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7"/>
      <c r="Q36" s="1573" t="str">
        <f>B36</f>
        <v>宗地面积</v>
      </c>
      <c r="R36" s="1574" t="s">
        <v>8</v>
      </c>
      <c r="S36" s="1575" t="e">
        <f t="shared" si="10"/>
        <v>#N/A</v>
      </c>
      <c r="T36" s="1574" t="s">
        <v>8</v>
      </c>
      <c r="U36" s="1575" t="e">
        <f t="shared" si="11"/>
        <v>#N/A</v>
      </c>
      <c r="V36" s="1574" t="s">
        <v>8</v>
      </c>
      <c r="W36" s="1575" t="e">
        <f t="shared" si="12"/>
        <v>#N/A</v>
      </c>
      <c r="X36" s="1568"/>
      <c r="Y36" s="3387"/>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7"/>
      <c r="Q37" s="1573" t="str">
        <f t="shared" ref="Q37:Q42" si="14">B37</f>
        <v>宗地形状</v>
      </c>
      <c r="R37" s="1574" t="s">
        <v>8</v>
      </c>
      <c r="S37" s="1575">
        <f t="shared" si="10"/>
        <v>100</v>
      </c>
      <c r="T37" s="1574" t="s">
        <v>8</v>
      </c>
      <c r="U37" s="1575">
        <f t="shared" si="11"/>
        <v>100</v>
      </c>
      <c r="V37" s="1574" t="s">
        <v>8</v>
      </c>
      <c r="W37" s="1575">
        <f t="shared" si="12"/>
        <v>100</v>
      </c>
      <c r="X37" s="1568"/>
      <c r="Y37" s="3387"/>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7"/>
      <c r="Q38" s="1573" t="str">
        <f t="shared" si="14"/>
        <v>宗地开发程度</v>
      </c>
      <c r="R38" s="1569" t="s">
        <v>8</v>
      </c>
      <c r="S38" s="1570">
        <f t="shared" si="10"/>
        <v>100</v>
      </c>
      <c r="T38" s="1569" t="s">
        <v>8</v>
      </c>
      <c r="U38" s="1570">
        <f t="shared" si="11"/>
        <v>100</v>
      </c>
      <c r="V38" s="1569" t="s">
        <v>8</v>
      </c>
      <c r="W38" s="1570">
        <f t="shared" si="12"/>
        <v>100</v>
      </c>
      <c r="X38" s="1571"/>
      <c r="Y38" s="3387"/>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t="s">
        <v>602</v>
      </c>
      <c r="Q39" s="1573" t="str">
        <f t="shared" si="14"/>
        <v>工程地质条件</v>
      </c>
      <c r="R39" s="1574" t="s">
        <v>8</v>
      </c>
      <c r="S39" s="1575">
        <f t="shared" si="10"/>
        <v>100</v>
      </c>
      <c r="T39" s="1574" t="s">
        <v>8</v>
      </c>
      <c r="U39" s="1575">
        <f t="shared" si="11"/>
        <v>100</v>
      </c>
      <c r="V39" s="1574" t="s">
        <v>8</v>
      </c>
      <c r="W39" s="1575">
        <f t="shared" si="12"/>
        <v>100</v>
      </c>
      <c r="X39" s="1568"/>
      <c r="Y39" s="3387"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7"/>
      <c r="Q40" s="1573">
        <f t="shared" si="14"/>
        <v>111</v>
      </c>
      <c r="R40" s="1574" t="s">
        <v>8</v>
      </c>
      <c r="S40" s="1575">
        <f t="shared" si="10"/>
        <v>100</v>
      </c>
      <c r="T40" s="1574" t="s">
        <v>8</v>
      </c>
      <c r="U40" s="1575">
        <f t="shared" si="11"/>
        <v>100</v>
      </c>
      <c r="V40" s="1574" t="s">
        <v>8</v>
      </c>
      <c r="W40" s="1575">
        <f t="shared" si="12"/>
        <v>100</v>
      </c>
      <c r="X40" s="1568"/>
      <c r="Y40" s="33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7"/>
      <c r="Q41" s="1573">
        <f t="shared" si="14"/>
        <v>111</v>
      </c>
      <c r="R41" s="1574" t="s">
        <v>8</v>
      </c>
      <c r="S41" s="1575">
        <f t="shared" si="10"/>
        <v>100</v>
      </c>
      <c r="T41" s="1574" t="s">
        <v>8</v>
      </c>
      <c r="U41" s="1575">
        <f t="shared" si="11"/>
        <v>100</v>
      </c>
      <c r="V41" s="1574" t="s">
        <v>8</v>
      </c>
      <c r="W41" s="1575">
        <f t="shared" si="12"/>
        <v>100</v>
      </c>
      <c r="X41" s="1568"/>
      <c r="Y41" s="338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7"/>
      <c r="Q42" s="1573">
        <f t="shared" si="14"/>
        <v>111</v>
      </c>
      <c r="R42" s="1578" t="s">
        <v>8</v>
      </c>
      <c r="S42" s="1579">
        <f t="shared" si="10"/>
        <v>100</v>
      </c>
      <c r="T42" s="1578" t="s">
        <v>8</v>
      </c>
      <c r="U42" s="1579">
        <f t="shared" si="11"/>
        <v>100</v>
      </c>
      <c r="V42" s="1578" t="s">
        <v>8</v>
      </c>
      <c r="W42" s="1579">
        <f t="shared" si="12"/>
        <v>100</v>
      </c>
      <c r="X42" s="1580"/>
      <c r="Y42" s="3387"/>
      <c r="Z42" s="1581">
        <f t="shared" si="13"/>
        <v>111</v>
      </c>
      <c r="AA42" s="1577">
        <f t="shared" si="3"/>
        <v>1</v>
      </c>
      <c r="AB42" s="1577">
        <f t="shared" si="4"/>
        <v>1</v>
      </c>
      <c r="AC42" s="1577">
        <f t="shared" si="5"/>
        <v>1</v>
      </c>
    </row>
    <row r="43" spans="1:29" ht="15">
      <c r="A43" s="607" t="s">
        <v>557</v>
      </c>
      <c r="B43" s="608" t="s">
        <v>2938</v>
      </c>
      <c r="C43" s="609" t="s">
        <v>1</v>
      </c>
      <c r="D43" s="610"/>
      <c r="E43" s="611"/>
      <c r="F43" s="612"/>
      <c r="G43" s="613"/>
      <c r="H43" s="614"/>
      <c r="I43" s="611"/>
      <c r="J43" s="614"/>
      <c r="K43" s="1340"/>
      <c r="L43" s="2146"/>
      <c r="M43" s="2136"/>
      <c r="N43" s="2136"/>
      <c r="O43" s="2147"/>
      <c r="P43" s="3350" t="str">
        <f>A43</f>
        <v>成交单价</v>
      </c>
      <c r="Q43" s="3350"/>
      <c r="R43" s="3351">
        <f>E43</f>
        <v>0</v>
      </c>
      <c r="S43" s="3351"/>
      <c r="T43" s="3351">
        <f>G43</f>
        <v>0</v>
      </c>
      <c r="U43" s="3351"/>
      <c r="V43" s="3351">
        <f>I43</f>
        <v>0</v>
      </c>
      <c r="W43" s="3351"/>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6"/>
      <c r="M44" s="2136"/>
      <c r="N44" s="2136"/>
      <c r="O44" s="2147"/>
      <c r="P44" s="3350" t="str">
        <f>A44</f>
        <v>比较价格（元/平方米）</v>
      </c>
      <c r="Q44" s="3350"/>
      <c r="R44" s="3352" t="e">
        <f>ROUND(PRODUCT(R43,AA9:AA42),0)</f>
        <v>#DIV/0!</v>
      </c>
      <c r="S44" s="3352"/>
      <c r="T44" s="3352" t="e">
        <f>ROUND(PRODUCT(T43,AB9:AB42),0)</f>
        <v>#DIV/0!</v>
      </c>
      <c r="U44" s="3352"/>
      <c r="V44" s="3352" t="e">
        <f>ROUND(PRODUCT(V43,AC9:AC42),0)</f>
        <v>#DIV/0!</v>
      </c>
      <c r="W44" s="3352"/>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47" t="str">
        <f>A45</f>
        <v>估价对象XX用房的比较价格（楼面单价，元/平方米）</v>
      </c>
      <c r="Q45" s="3348"/>
      <c r="R45" s="3349" t="e">
        <f>ROUND(AVERAGE(R44:V44),0)</f>
        <v>#DIV/0!</v>
      </c>
      <c r="S45" s="3349"/>
      <c r="T45" s="3349"/>
      <c r="U45" s="3349"/>
      <c r="V45" s="3349"/>
      <c r="W45" s="334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2296</v>
      </c>
      <c r="E52" s="631" t="s">
        <v>563</v>
      </c>
      <c r="F52" s="1953" t="s">
        <v>564</v>
      </c>
      <c r="G52" s="3399" t="s">
        <v>2287</v>
      </c>
      <c r="H52" s="3400"/>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8000.25</v>
      </c>
      <c r="F53" s="1952" t="e">
        <f t="shared" ref="F53:F62" si="15">ROUND(B53*E53/10000,0)</f>
        <v>#DIV/0!</v>
      </c>
      <c r="G53" s="3401"/>
      <c r="H53" s="340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403"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40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40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40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2297</v>
      </c>
      <c r="E63" s="643">
        <f>IF(B43="楼面地价",SUM(E53:E62),'数据-汇总表'!D3)</f>
        <v>10667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2538</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2655</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2553</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2555</v>
      </c>
      <c r="C95" s="2624" t="s">
        <v>2556</v>
      </c>
      <c r="D95" s="2624" t="s">
        <v>2557</v>
      </c>
      <c r="E95" s="2624" t="s">
        <v>2558</v>
      </c>
      <c r="F95" s="2624" t="s">
        <v>2559</v>
      </c>
      <c r="G95" s="2624" t="s">
        <v>2560</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0</v>
      </c>
      <c r="E1" s="1407" t="s">
        <v>2430</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4" t="s">
        <v>2768</v>
      </c>
      <c r="S1" s="2964" t="s">
        <v>2769</v>
      </c>
      <c r="T1" s="2964" t="s">
        <v>2790</v>
      </c>
      <c r="U1" s="2964" t="s">
        <v>2791</v>
      </c>
      <c r="V1" s="2964" t="s">
        <v>2792</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2940</v>
      </c>
      <c r="G3" s="1039">
        <f>IF(F3="宗地容积率",'数据-汇总表'!I4,IF(F3="估价对象容积率",'数据-汇总表'!I6,'数据-汇总表'!I7))</f>
        <v>0.75</v>
      </c>
      <c r="H3" s="1415" t="s">
        <v>930</v>
      </c>
      <c r="I3" s="1040">
        <v>8</v>
      </c>
      <c r="J3" s="1411" t="s">
        <v>931</v>
      </c>
      <c r="K3" s="1402"/>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3" t="str">
        <f>IF(E2="商业",IF(C8="不临58条商业街","",2),"")</f>
        <v/>
      </c>
      <c r="B7" s="1428" t="s">
        <v>933</v>
      </c>
      <c r="C7" s="1043" t="e">
        <f>IF(C8="不临58条商业街",1,ROUND(1+(1.6*E8+1.2*E9+0.8*E10+0.4*E11)*C9,4))</f>
        <v>#DIV/0!</v>
      </c>
      <c r="D7" s="1429" t="s">
        <v>934</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2771</v>
      </c>
      <c r="X7" s="2955">
        <f>G2</f>
        <v>0</v>
      </c>
      <c r="Y7" s="2955" t="s">
        <v>2772</v>
      </c>
      <c r="Z7" s="2956">
        <f>G3</f>
        <v>0.75</v>
      </c>
      <c r="AA7" s="2194"/>
      <c r="AB7" s="2194"/>
      <c r="AC7" s="2195"/>
      <c r="AD7" s="2957"/>
      <c r="AE7" s="2957"/>
      <c r="AF7" s="2957"/>
      <c r="AG7" s="2957"/>
      <c r="AH7" s="2957"/>
      <c r="AI7" s="2957"/>
      <c r="AJ7" s="2958"/>
    </row>
    <row r="8" spans="1:39" ht="15">
      <c r="A8" s="3414"/>
      <c r="B8" s="1415" t="s">
        <v>935</v>
      </c>
      <c r="C8" s="1530"/>
      <c r="D8" s="1045" t="s">
        <v>936</v>
      </c>
      <c r="E8" s="1046" t="e">
        <f>ROUND(C11/E7,4)</f>
        <v>#DIV/0!</v>
      </c>
      <c r="F8" s="1433" t="s">
        <v>937</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05" t="s">
        <v>2789</v>
      </c>
      <c r="X8" s="3406"/>
      <c r="Y8" s="1851" t="s">
        <v>2773</v>
      </c>
      <c r="Z8" s="1851" t="s">
        <v>2774</v>
      </c>
      <c r="AA8" s="1851" t="s">
        <v>2775</v>
      </c>
      <c r="AB8" s="1851" t="s">
        <v>2776</v>
      </c>
      <c r="AC8" s="1851" t="s">
        <v>2777</v>
      </c>
      <c r="AD8" s="1851" t="s">
        <v>2778</v>
      </c>
      <c r="AE8" s="1851" t="s">
        <v>2779</v>
      </c>
      <c r="AF8" s="1851" t="s">
        <v>2780</v>
      </c>
      <c r="AG8" s="1851" t="s">
        <v>2781</v>
      </c>
      <c r="AH8" s="1851" t="s">
        <v>2782</v>
      </c>
      <c r="AI8" s="1851" t="s">
        <v>2783</v>
      </c>
      <c r="AJ8" s="1851" t="s">
        <v>2784</v>
      </c>
    </row>
    <row r="9" spans="1:39" ht="15">
      <c r="A9" s="3414"/>
      <c r="B9" s="1415" t="s">
        <v>938</v>
      </c>
      <c r="C9" s="1047">
        <f>SUMIF(修正!C59:C119,C8,修正!E59:E119)</f>
        <v>0</v>
      </c>
      <c r="D9" s="1048" t="s">
        <v>939</v>
      </c>
      <c r="E9" s="1048" t="e">
        <f>ROUND(C11/E7,4)</f>
        <v>#DIV/0!</v>
      </c>
      <c r="F9" s="1433" t="s">
        <v>940</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4" t="s">
        <v>2785</v>
      </c>
      <c r="X9" s="2959" t="s">
        <v>2786</v>
      </c>
      <c r="Y9" s="3124"/>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4"/>
      <c r="B10" s="1415" t="s">
        <v>941</v>
      </c>
      <c r="C10" s="1048">
        <f>SUMIF(修正!C59:C119,C8,修正!F59:F119)</f>
        <v>0</v>
      </c>
      <c r="D10" s="1048" t="s">
        <v>942</v>
      </c>
      <c r="E10" s="1048" t="e">
        <f>ROUND(C11/E7,4)</f>
        <v>#DIV/0!</v>
      </c>
      <c r="F10" s="1433" t="s">
        <v>943</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4"/>
      <c r="B11" s="1436" t="s">
        <v>944</v>
      </c>
      <c r="C11" s="1049">
        <f>C10/4</f>
        <v>0</v>
      </c>
      <c r="D11" s="1049" t="s">
        <v>945</v>
      </c>
      <c r="E11" s="1049" t="e">
        <f>ROUND(C11/E7,4)</f>
        <v>#DIV/0!</v>
      </c>
      <c r="F11" s="1437" t="s">
        <v>946</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4" t="s">
        <v>2787</v>
      </c>
      <c r="X11" s="1048" t="s">
        <v>2772</v>
      </c>
      <c r="Y11" s="1654">
        <f>$G$3</f>
        <v>0.75</v>
      </c>
      <c r="Z11" s="1654">
        <f t="shared" ref="Z11:AJ11" si="3">$G$3</f>
        <v>0.75</v>
      </c>
      <c r="AA11" s="1654">
        <f t="shared" si="3"/>
        <v>0.75</v>
      </c>
      <c r="AB11" s="1654">
        <f t="shared" si="3"/>
        <v>0.75</v>
      </c>
      <c r="AC11" s="1654">
        <f t="shared" si="3"/>
        <v>0.75</v>
      </c>
      <c r="AD11" s="1654">
        <f t="shared" si="3"/>
        <v>0.75</v>
      </c>
      <c r="AE11" s="1654">
        <f t="shared" si="3"/>
        <v>0.75</v>
      </c>
      <c r="AF11" s="1654">
        <f t="shared" si="3"/>
        <v>0.75</v>
      </c>
      <c r="AG11" s="1654">
        <f t="shared" si="3"/>
        <v>0.75</v>
      </c>
      <c r="AH11" s="1654">
        <f t="shared" si="3"/>
        <v>0.75</v>
      </c>
      <c r="AI11" s="1654">
        <f t="shared" si="3"/>
        <v>0.75</v>
      </c>
      <c r="AJ11" s="1654">
        <f t="shared" si="3"/>
        <v>0.75</v>
      </c>
    </row>
    <row r="12" spans="1:39" ht="25.5" thickBot="1">
      <c r="A12" s="3413" t="s">
        <v>1873</v>
      </c>
      <c r="B12" s="1440" t="s">
        <v>947</v>
      </c>
      <c r="C12" s="1043">
        <f>ROUND(C15*D15*E15*F15*G15*H15*I15*J15,4)</f>
        <v>1</v>
      </c>
      <c r="D12" s="1441" t="s">
        <v>948</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4"/>
      <c r="X12" s="2962" t="s">
        <v>2788</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15"/>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04"/>
      <c r="X13" s="2962"/>
      <c r="Y13" s="2961">
        <f>(-0.163*(Y12^2)-0.59*Y12+7617)*(10^(-4))/Y11</f>
        <v>1.0156000000000001</v>
      </c>
      <c r="Z13" s="2961">
        <f t="shared" ref="Z13:AJ13" si="5">(-0.163*(Z12^2)-0.59*Z12+7617)*(10^(-4))/Z11</f>
        <v>1.0156000000000001</v>
      </c>
      <c r="AA13" s="2961">
        <f t="shared" si="5"/>
        <v>1.0156000000000001</v>
      </c>
      <c r="AB13" s="2961">
        <f t="shared" si="5"/>
        <v>1.0156000000000001</v>
      </c>
      <c r="AC13" s="2961">
        <f t="shared" si="5"/>
        <v>1.0156000000000001</v>
      </c>
      <c r="AD13" s="2961">
        <f t="shared" si="5"/>
        <v>1.0156000000000001</v>
      </c>
      <c r="AE13" s="2961">
        <f t="shared" si="5"/>
        <v>1.0156000000000001</v>
      </c>
      <c r="AF13" s="2961">
        <f t="shared" si="5"/>
        <v>1.0156000000000001</v>
      </c>
      <c r="AG13" s="2961">
        <f t="shared" si="5"/>
        <v>1.0156000000000001</v>
      </c>
      <c r="AH13" s="2961">
        <f t="shared" si="5"/>
        <v>1.0156000000000001</v>
      </c>
      <c r="AI13" s="2961">
        <f t="shared" si="5"/>
        <v>1.0156000000000001</v>
      </c>
      <c r="AJ13" s="2961">
        <f t="shared" si="5"/>
        <v>1.0156000000000001</v>
      </c>
    </row>
    <row r="14" spans="1:39" ht="12.75" customHeight="1" thickBot="1">
      <c r="A14" s="3415"/>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16"/>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13"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4"/>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43074</v>
      </c>
      <c r="H19" s="1476" t="s">
        <v>2941</v>
      </c>
      <c r="I19" s="2812" t="str">
        <f>IF(H19="季度增幅（自定义）",SUMIF(N21:N24,E2,O21:O24),"")</f>
        <v/>
      </c>
      <c r="J19" s="1472"/>
      <c r="K19" s="1482"/>
      <c r="L19" s="3068" t="s">
        <v>2847</v>
      </c>
      <c r="M19" s="3069">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1">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2848</v>
      </c>
      <c r="M20" s="3071">
        <f>ROUND(SUMPRODUCT((地价!A5:A20=YEAR(G19)&amp;"-"&amp;ROUNDUP(MONTH(G19)/3,0))*(地价!B2:F2=E2)*(地价!B5:F20)),0)</f>
        <v>0</v>
      </c>
      <c r="N20" s="2817" t="s">
        <v>2652</v>
      </c>
      <c r="O20" s="2815" t="s">
        <v>2651</v>
      </c>
      <c r="P20" s="2816" t="s">
        <v>2656</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2654</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9" t="s">
        <v>2968</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0"/>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0"/>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1"/>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2253</v>
      </c>
      <c r="G46" s="2457" t="s">
        <v>1016</v>
      </c>
      <c r="H46" s="2440" t="s">
        <v>2421</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1023</v>
      </c>
      <c r="B48" s="2434" t="str">
        <f>估价对象房地状况!C18</f>
        <v>估价对象临沪瑞线，周边道路通达状况一般、附近公共交通较少，停车较便捷，综合评价交通便捷度一般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3" t="s">
        <v>2943</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t="str">
        <f>估价对象房地状况!C24</f>
        <v>高速路——沪瑞线</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2" t="s">
        <v>2942</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估价对象所在区域公共配套设施齐备情况一般</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区域自然环境好；人文环境一般；综合评价环境状况较好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2254</v>
      </c>
      <c r="G57" s="2457" t="s">
        <v>1016</v>
      </c>
      <c r="H57" s="2440" t="s">
        <v>2421</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1023</v>
      </c>
      <c r="B59" s="2434" t="str">
        <f>估价对象房地状况!C18</f>
        <v>估价对象临沪瑞线，周边道路通达状况一般、附近公共交通较少，停车较便捷，综合评价交通便捷度一般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3" t="s">
        <v>2944</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t="str">
        <f>估价对象房地状况!C24</f>
        <v>高速路——沪瑞线</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2" t="s">
        <v>2942</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估价对象所在区域公共配套设施齐备情况一般</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区域自然环境好；人文环境一般；综合评价环境状况较好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2255</v>
      </c>
      <c r="G68" s="2457" t="s">
        <v>1016</v>
      </c>
      <c r="H68" s="2440" t="s">
        <v>2421</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60">
      <c r="A69" s="1067" t="s">
        <v>1034</v>
      </c>
      <c r="B69" s="2437" t="str">
        <f>估价对象房地状况!C15</f>
        <v>估价对象周边居住用地比例一般、居住小区有九龙山庄、颐景山庄、鸣翠蓝湾等，综合评价居住社区成熟度一般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1035</v>
      </c>
      <c r="B70" s="2434" t="str">
        <f>估价对象房地状况!C18</f>
        <v>估价对象临沪瑞线，周边道路通达状况一般、附近公共交通较少，停车较便捷，综合评价交通便捷度一般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t="str">
        <f>估价对象房地状况!C24</f>
        <v>高速路——沪瑞线</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估价对象所在区域公共配套设施齐备情况一般</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2" t="s">
        <v>2942</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区域自然环境好；人文环境一般；综合评价环境状况较好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2256</v>
      </c>
      <c r="G79" s="2457" t="s">
        <v>1016</v>
      </c>
      <c r="H79" s="2440" t="s">
        <v>2421</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2" t="s">
        <v>2942</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17" t="s">
        <v>1635</v>
      </c>
      <c r="B90" s="3417"/>
      <c r="C90" s="3417"/>
      <c r="D90" s="3417"/>
      <c r="E90" s="3417"/>
      <c r="F90" s="3417"/>
      <c r="G90" s="3417"/>
      <c r="H90" s="3417"/>
      <c r="I90" s="3417"/>
      <c r="J90" s="3417"/>
      <c r="K90" s="2476"/>
      <c r="L90" s="2476"/>
      <c r="M90" s="2476"/>
      <c r="N90" s="2476"/>
    </row>
    <row r="91" spans="1:40">
      <c r="A91" s="3418" t="s">
        <v>1445</v>
      </c>
      <c r="B91" s="3418" t="s">
        <v>1636</v>
      </c>
      <c r="C91" s="1140" t="s">
        <v>1637</v>
      </c>
      <c r="D91" s="1141"/>
      <c r="E91" s="1141"/>
      <c r="F91" s="1141"/>
      <c r="G91" s="1141"/>
      <c r="H91" s="1141"/>
      <c r="I91" s="1141"/>
      <c r="J91" s="1142"/>
      <c r="K91" s="1134"/>
      <c r="L91" s="1134"/>
      <c r="M91" s="1134"/>
      <c r="N91" s="1134"/>
    </row>
    <row r="92" spans="1:40">
      <c r="A92" s="3418"/>
      <c r="B92" s="341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07"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1639</v>
      </c>
      <c r="B101" s="1147" t="s">
        <v>907</v>
      </c>
      <c r="C101" s="1148">
        <f>$G$3</f>
        <v>0.75</v>
      </c>
      <c r="D101" s="1148">
        <f t="shared" ref="D101:N101" si="31">$G$3</f>
        <v>0.75</v>
      </c>
      <c r="E101" s="1148">
        <f t="shared" si="31"/>
        <v>0.75</v>
      </c>
      <c r="F101" s="1148">
        <f t="shared" si="31"/>
        <v>0.75</v>
      </c>
      <c r="G101" s="1148">
        <f t="shared" si="31"/>
        <v>0.75</v>
      </c>
      <c r="H101" s="1148">
        <f t="shared" si="31"/>
        <v>0.75</v>
      </c>
      <c r="I101" s="1148">
        <f t="shared" si="31"/>
        <v>0.75</v>
      </c>
      <c r="J101" s="1148">
        <f t="shared" si="31"/>
        <v>0.75</v>
      </c>
      <c r="K101" s="1148">
        <f t="shared" si="31"/>
        <v>0.75</v>
      </c>
      <c r="L101" s="1148">
        <f t="shared" si="31"/>
        <v>0.75</v>
      </c>
      <c r="M101" s="1148">
        <f t="shared" si="31"/>
        <v>0.75</v>
      </c>
      <c r="N101" s="1148">
        <f t="shared" si="31"/>
        <v>0.75</v>
      </c>
    </row>
    <row r="102" spans="1:14">
      <c r="A102" s="3408"/>
      <c r="B102" s="1143">
        <v>1</v>
      </c>
      <c r="C102" s="1144">
        <f>1.9362/C101</f>
        <v>2.5815999999999999</v>
      </c>
      <c r="D102" s="1144">
        <f>1.9362/D101</f>
        <v>2.5815999999999999</v>
      </c>
      <c r="E102" s="1144">
        <f>1.8629/E101</f>
        <v>2.4838666666666667</v>
      </c>
      <c r="F102" s="1144">
        <f>1.8629/F101</f>
        <v>2.4838666666666667</v>
      </c>
      <c r="G102" s="1144">
        <f>1.8629/G101</f>
        <v>2.4838666666666667</v>
      </c>
      <c r="H102" s="1144">
        <f>1.8629/H101</f>
        <v>2.4838666666666667</v>
      </c>
      <c r="I102" s="1144">
        <f>1.8629/I101</f>
        <v>2.4838666666666667</v>
      </c>
      <c r="J102" s="1144">
        <f>1.942/J101</f>
        <v>2.5893333333333333</v>
      </c>
      <c r="K102" s="1144">
        <f>1.942/K101</f>
        <v>2.5893333333333333</v>
      </c>
      <c r="L102" s="1144">
        <f>1.942/L101</f>
        <v>2.5893333333333333</v>
      </c>
      <c r="M102" s="1144">
        <f>1.942/M101</f>
        <v>2.5893333333333333</v>
      </c>
      <c r="N102" s="1144">
        <f>1.942/N101</f>
        <v>2.5893333333333333</v>
      </c>
    </row>
    <row r="103" spans="1:14">
      <c r="A103" s="3408"/>
      <c r="B103" s="1143">
        <v>2</v>
      </c>
      <c r="C103" s="1144">
        <f>1.4198/C101</f>
        <v>1.8930666666666667</v>
      </c>
      <c r="D103" s="1144">
        <f>1.4198/D101</f>
        <v>1.8930666666666667</v>
      </c>
      <c r="E103" s="1144">
        <f>1.3372/E101</f>
        <v>1.7829333333333333</v>
      </c>
      <c r="F103" s="1144">
        <f>1.3372/F101</f>
        <v>1.7829333333333333</v>
      </c>
      <c r="G103" s="1144">
        <f>1.3372/G101</f>
        <v>1.7829333333333333</v>
      </c>
      <c r="H103" s="1144">
        <f>1.3372/H101</f>
        <v>1.7829333333333333</v>
      </c>
      <c r="I103" s="1144">
        <f>1.3372/I101</f>
        <v>1.7829333333333333</v>
      </c>
      <c r="J103" s="1144">
        <f>1.2799/J101</f>
        <v>1.7065333333333335</v>
      </c>
      <c r="K103" s="1144">
        <f>1.2799/K101</f>
        <v>1.7065333333333335</v>
      </c>
      <c r="L103" s="1144">
        <f>1.2799/L101</f>
        <v>1.7065333333333335</v>
      </c>
      <c r="M103" s="1144">
        <f>1.2799/M101</f>
        <v>1.7065333333333335</v>
      </c>
      <c r="N103" s="1144">
        <f>1.2799/N101</f>
        <v>1.7065333333333335</v>
      </c>
    </row>
    <row r="104" spans="1:14">
      <c r="A104" s="3408"/>
      <c r="B104" s="1143">
        <v>3</v>
      </c>
      <c r="C104" s="1144">
        <f>1.1594/C101</f>
        <v>1.5458666666666667</v>
      </c>
      <c r="D104" s="1144">
        <f>1.1594/D101</f>
        <v>1.5458666666666667</v>
      </c>
      <c r="E104" s="1144">
        <f>1.0788/E101</f>
        <v>1.4383999999999999</v>
      </c>
      <c r="F104" s="1144">
        <f>1.0788/F101</f>
        <v>1.4383999999999999</v>
      </c>
      <c r="G104" s="1144">
        <f>1.0788/G101</f>
        <v>1.4383999999999999</v>
      </c>
      <c r="H104" s="1144">
        <f>1.0788/H101</f>
        <v>1.4383999999999999</v>
      </c>
      <c r="I104" s="1144">
        <f>1.0788/I101</f>
        <v>1.4383999999999999</v>
      </c>
      <c r="J104" s="1144">
        <f>1.0072/J101</f>
        <v>1.3429333333333335</v>
      </c>
      <c r="K104" s="1144">
        <f>1.0072/K101</f>
        <v>1.3429333333333335</v>
      </c>
      <c r="L104" s="1144">
        <f>1.0072/L101</f>
        <v>1.3429333333333335</v>
      </c>
      <c r="M104" s="1144">
        <f>1.0072/M101</f>
        <v>1.3429333333333335</v>
      </c>
      <c r="N104" s="1144">
        <f>1.0072/N101</f>
        <v>1.3429333333333335</v>
      </c>
    </row>
    <row r="105" spans="1:14">
      <c r="A105" s="3408"/>
      <c r="B105" s="1143">
        <v>4</v>
      </c>
      <c r="C105" s="1144">
        <f>0.9622/C101</f>
        <v>1.2829333333333335</v>
      </c>
      <c r="D105" s="1144">
        <f>0.9622/D101</f>
        <v>1.2829333333333335</v>
      </c>
      <c r="E105" s="1144">
        <f>0.8656/E101</f>
        <v>1.1541333333333335</v>
      </c>
      <c r="F105" s="1144">
        <f>0.8656/F101</f>
        <v>1.1541333333333335</v>
      </c>
      <c r="G105" s="1144">
        <f>0.8656/G101</f>
        <v>1.1541333333333335</v>
      </c>
      <c r="H105" s="1144">
        <f>0.8656/H101</f>
        <v>1.1541333333333335</v>
      </c>
      <c r="I105" s="1144">
        <f>0.8656/I101</f>
        <v>1.1541333333333335</v>
      </c>
      <c r="J105" s="1144">
        <f>0.7525/J101</f>
        <v>1.0033333333333332</v>
      </c>
      <c r="K105" s="1144">
        <f>0.7525/K101</f>
        <v>1.0033333333333332</v>
      </c>
      <c r="L105" s="1144">
        <f>0.7525/L101</f>
        <v>1.0033333333333332</v>
      </c>
      <c r="M105" s="1144">
        <f>0.7525/M101</f>
        <v>1.0033333333333332</v>
      </c>
      <c r="N105" s="1144">
        <f>0.7525/N101</f>
        <v>1.0033333333333332</v>
      </c>
    </row>
    <row r="106" spans="1:14">
      <c r="A106" s="3408"/>
      <c r="B106" s="1143">
        <v>5</v>
      </c>
      <c r="C106" s="1144">
        <f>0.8417/C101</f>
        <v>1.1222666666666667</v>
      </c>
      <c r="D106" s="1144">
        <f>0.8417/D101</f>
        <v>1.1222666666666667</v>
      </c>
      <c r="E106" s="1144">
        <f>0.7371/E101</f>
        <v>0.98280000000000001</v>
      </c>
      <c r="F106" s="1144">
        <f>0.7371/F101</f>
        <v>0.98280000000000001</v>
      </c>
      <c r="G106" s="1144">
        <f>0.7371/G101</f>
        <v>0.98280000000000001</v>
      </c>
      <c r="H106" s="1144">
        <f>0.7371/H101</f>
        <v>0.98280000000000001</v>
      </c>
      <c r="I106" s="1144">
        <f>0.7371/I101</f>
        <v>0.98280000000000001</v>
      </c>
      <c r="J106" s="1144">
        <f>0.5659/J101</f>
        <v>0.75453333333333328</v>
      </c>
      <c r="K106" s="1144">
        <f>0.5659/K101</f>
        <v>0.75453333333333328</v>
      </c>
      <c r="L106" s="1144">
        <f>0.5659/L101</f>
        <v>0.75453333333333328</v>
      </c>
      <c r="M106" s="1144">
        <f>0.5659/M101</f>
        <v>0.75453333333333328</v>
      </c>
      <c r="N106" s="1144">
        <f>0.5659/N101</f>
        <v>0.75453333333333328</v>
      </c>
    </row>
    <row r="107" spans="1:14">
      <c r="A107" s="3408"/>
      <c r="B107" s="1143">
        <v>6</v>
      </c>
      <c r="C107" s="1144">
        <f>0.7608/C101</f>
        <v>1.0144</v>
      </c>
      <c r="D107" s="1144">
        <f>0.7608/D101</f>
        <v>1.0144</v>
      </c>
      <c r="E107" s="1144">
        <f>0.6482/E101</f>
        <v>0.86426666666666663</v>
      </c>
      <c r="F107" s="1144">
        <f>0.6482/F101</f>
        <v>0.86426666666666663</v>
      </c>
      <c r="G107" s="1144">
        <f>0.6482/G101</f>
        <v>0.86426666666666663</v>
      </c>
      <c r="H107" s="1144">
        <f>0.6482/H101</f>
        <v>0.86426666666666663</v>
      </c>
      <c r="I107" s="1144">
        <f>0.6482/I101</f>
        <v>0.86426666666666663</v>
      </c>
      <c r="J107" s="1144">
        <f>0.4525/J101</f>
        <v>0.60333333333333339</v>
      </c>
      <c r="K107" s="1144">
        <f>0.4525/K101</f>
        <v>0.60333333333333339</v>
      </c>
      <c r="L107" s="1144">
        <f>0.4525/L101</f>
        <v>0.60333333333333339</v>
      </c>
      <c r="M107" s="1144">
        <f>0.4525/M101</f>
        <v>0.60333333333333339</v>
      </c>
      <c r="N107" s="1144">
        <f>0.4525/N101</f>
        <v>0.60333333333333339</v>
      </c>
    </row>
    <row r="108" spans="1:14">
      <c r="A108" s="3408"/>
      <c r="B108" s="3410"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1.0135797333333334</v>
      </c>
      <c r="D109" s="1146">
        <f>(-0.163*(D108^2)-0.59*D108+7617)*(10^(-4))/D101</f>
        <v>1.0135797333333334</v>
      </c>
      <c r="E109" s="1146">
        <f>(-0.161*(E108^2)-7.509*E108+6533)*(10^(-4))/E101</f>
        <v>0.86168319999999998</v>
      </c>
      <c r="F109" s="1146">
        <f>(-0.161*(F108^2)-7.509*F108+6533)*(10^(-4))/F101</f>
        <v>0.86168319999999998</v>
      </c>
      <c r="G109" s="1146">
        <f>(-0.161*(G108^2)-7.509*G108+6533)*(10^(-4))/G101</f>
        <v>0.86168319999999998</v>
      </c>
      <c r="H109" s="1146">
        <f>(-0.161*(H108^2)-7.509*H108+6533)*(10^(-4))/H101</f>
        <v>0.86168319999999998</v>
      </c>
      <c r="I109" s="1146">
        <f>(-0.161*(I108^2)-7.509*I108+6533)*(10^(-4))/I101</f>
        <v>0.86168319999999998</v>
      </c>
      <c r="J109" s="1146">
        <f>(-0.214*(J108^2)-21.991*J108+4665)*(10^(-4))/J101</f>
        <v>0.59671680000000005</v>
      </c>
      <c r="K109" s="1146">
        <f>(-0.214*(K108^2)-21.991*K108+4665)*(10^(-4))/K101</f>
        <v>0.59671680000000005</v>
      </c>
      <c r="L109" s="1146">
        <f>(-0.214*(L108^2)-21.991*L108+4665)*(10^(-4))/L101</f>
        <v>0.59671680000000005</v>
      </c>
      <c r="M109" s="1146">
        <f>(-0.214*(M108^2)-21.991*M108+4665)*(10^(-4))/M101</f>
        <v>0.59671680000000005</v>
      </c>
      <c r="N109" s="1146">
        <f>(-0.214*(N108^2)-21.991*N108+4665)*(10^(-4))/N101</f>
        <v>0.59671680000000005</v>
      </c>
    </row>
    <row r="110" spans="1:14">
      <c r="A110" s="3412" t="s">
        <v>1641</v>
      </c>
      <c r="B110" s="3412"/>
      <c r="C110" s="3412"/>
      <c r="D110" s="3412"/>
      <c r="E110" s="3412"/>
      <c r="F110" s="3412"/>
      <c r="G110" s="3412"/>
      <c r="H110" s="3412"/>
      <c r="I110" s="3412"/>
      <c r="J110" s="3412"/>
      <c r="K110" s="2474"/>
      <c r="L110" s="2474"/>
      <c r="M110" s="2474"/>
      <c r="N110" s="2474"/>
    </row>
    <row r="112" spans="1:14" ht="12.75" thickBot="1"/>
    <row r="113" spans="1:13" ht="25.5" thickBot="1">
      <c r="A113" s="1016" t="s">
        <v>897</v>
      </c>
      <c r="B113" s="2477">
        <f>G3</f>
        <v>0.75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0.82489999999999997</v>
      </c>
      <c r="E115" s="1030">
        <f>D115</f>
        <v>0.82489999999999997</v>
      </c>
      <c r="F115" s="1030">
        <f>E115</f>
        <v>0.82489999999999997</v>
      </c>
      <c r="G115" s="1030">
        <f>F115</f>
        <v>0.82489999999999997</v>
      </c>
      <c r="H115" s="1030">
        <f>G115</f>
        <v>0.82489999999999997</v>
      </c>
      <c r="I115" s="1030">
        <f>ROUND(0.689-0.0155*B113,4)</f>
        <v>0.6774</v>
      </c>
      <c r="J115" s="1030">
        <f t="shared" ref="J115:M118" si="33">I115</f>
        <v>0.6774</v>
      </c>
      <c r="K115" s="1030">
        <f t="shared" si="33"/>
        <v>0.6774</v>
      </c>
      <c r="L115" s="1030">
        <f t="shared" si="33"/>
        <v>0.6774</v>
      </c>
      <c r="M115" s="1031">
        <f t="shared" si="33"/>
        <v>0.6774</v>
      </c>
    </row>
    <row r="116" spans="1:13" ht="12.75">
      <c r="A116" s="1029" t="s">
        <v>902</v>
      </c>
      <c r="B116" s="1030">
        <f>ROUND(0.949-0.012*B113,4)</f>
        <v>0.94</v>
      </c>
      <c r="C116" s="1030">
        <f>B116</f>
        <v>0.94</v>
      </c>
      <c r="D116" s="1030">
        <f>ROUND(0.8567-0.013*B113,4)</f>
        <v>0.84699999999999998</v>
      </c>
      <c r="E116" s="1030">
        <f t="shared" ref="E116:H117" si="34">D116</f>
        <v>0.84699999999999998</v>
      </c>
      <c r="F116" s="1030">
        <f t="shared" si="34"/>
        <v>0.84699999999999998</v>
      </c>
      <c r="G116" s="1030">
        <f t="shared" si="34"/>
        <v>0.84699999999999998</v>
      </c>
      <c r="H116" s="1030">
        <f t="shared" si="34"/>
        <v>0.84699999999999998</v>
      </c>
      <c r="I116" s="1030">
        <f>ROUND(0.7694-0.014*B113,4)</f>
        <v>0.75890000000000002</v>
      </c>
      <c r="J116" s="1030">
        <f t="shared" si="33"/>
        <v>0.75890000000000002</v>
      </c>
      <c r="K116" s="1030">
        <f t="shared" si="33"/>
        <v>0.75890000000000002</v>
      </c>
      <c r="L116" s="1030">
        <f t="shared" si="33"/>
        <v>0.75890000000000002</v>
      </c>
      <c r="M116" s="1031">
        <f t="shared" si="33"/>
        <v>0.75890000000000002</v>
      </c>
    </row>
    <row r="117" spans="1:13" ht="12.75">
      <c r="A117" s="1032" t="s">
        <v>903</v>
      </c>
      <c r="B117" s="1030">
        <f>ROUND(0.8808-0.006*B113,4)</f>
        <v>0.87629999999999997</v>
      </c>
      <c r="C117" s="1030">
        <f>B117</f>
        <v>0.87629999999999997</v>
      </c>
      <c r="D117" s="1030">
        <f>ROUND(0.8748-0.008*B113,4)</f>
        <v>0.86880000000000002</v>
      </c>
      <c r="E117" s="1030">
        <f t="shared" si="34"/>
        <v>0.86880000000000002</v>
      </c>
      <c r="F117" s="1030">
        <f t="shared" si="34"/>
        <v>0.86880000000000002</v>
      </c>
      <c r="G117" s="1030">
        <f t="shared" si="34"/>
        <v>0.86880000000000002</v>
      </c>
      <c r="H117" s="1030">
        <f t="shared" si="34"/>
        <v>0.86880000000000002</v>
      </c>
      <c r="I117" s="1030">
        <f>ROUND(0.7412-0.0095*B113,4)</f>
        <v>0.73409999999999997</v>
      </c>
      <c r="J117" s="1030">
        <f t="shared" si="33"/>
        <v>0.73409999999999997</v>
      </c>
      <c r="K117" s="1030">
        <f t="shared" si="33"/>
        <v>0.73409999999999997</v>
      </c>
      <c r="L117" s="1030">
        <f t="shared" si="33"/>
        <v>0.73409999999999997</v>
      </c>
      <c r="M117" s="1031">
        <f t="shared" si="33"/>
        <v>0.73409999999999997</v>
      </c>
    </row>
    <row r="118" spans="1:13" ht="13.5" thickBot="1">
      <c r="A118" s="1033" t="s">
        <v>904</v>
      </c>
      <c r="B118" s="1034">
        <f>ROUND(0.7275-0.01*B113,4)</f>
        <v>0.72</v>
      </c>
      <c r="C118" s="1034">
        <f>B118</f>
        <v>0.72</v>
      </c>
      <c r="D118" s="1034">
        <f>ROUND(0.7043-0.012*B113,4)</f>
        <v>0.69530000000000003</v>
      </c>
      <c r="E118" s="1034">
        <f>D118</f>
        <v>0.69530000000000003</v>
      </c>
      <c r="F118" s="1034">
        <f>E118</f>
        <v>0.69530000000000003</v>
      </c>
      <c r="G118" s="1034">
        <f>ROUND(0.6299-0.0122*B113,4)</f>
        <v>0.62080000000000002</v>
      </c>
      <c r="H118" s="1034">
        <f>G118</f>
        <v>0.62080000000000002</v>
      </c>
      <c r="I118" s="1034">
        <f>ROUND(0.5667-0.0136*B113,4)</f>
        <v>0.55649999999999999</v>
      </c>
      <c r="J118" s="1034">
        <f t="shared" si="33"/>
        <v>0.55649999999999999</v>
      </c>
      <c r="K118" s="1034">
        <f t="shared" si="33"/>
        <v>0.55649999999999999</v>
      </c>
      <c r="L118" s="1034">
        <f t="shared" si="33"/>
        <v>0.55649999999999999</v>
      </c>
      <c r="M118" s="1035">
        <f t="shared" si="33"/>
        <v>0.55649999999999999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18" t="s">
        <v>1009</v>
      </c>
      <c r="B18" s="1154" t="s">
        <v>1448</v>
      </c>
      <c r="C18" s="1131" t="s">
        <v>1449</v>
      </c>
      <c r="D18" s="1132"/>
      <c r="E18" s="1154">
        <v>1</v>
      </c>
      <c r="F18" s="1133" t="s">
        <v>1450</v>
      </c>
      <c r="G18" s="1134"/>
      <c r="H18" s="1105"/>
      <c r="I18" s="1105"/>
    </row>
    <row r="19" spans="1:9" s="1600" customFormat="1" ht="19.5" customHeight="1">
      <c r="A19" s="3418"/>
      <c r="B19" s="3418" t="s">
        <v>1451</v>
      </c>
      <c r="C19" s="1131" t="s">
        <v>1452</v>
      </c>
      <c r="D19" s="1132"/>
      <c r="E19" s="1154">
        <v>0.9</v>
      </c>
      <c r="F19" s="1133" t="s">
        <v>1453</v>
      </c>
      <c r="G19" s="1134"/>
      <c r="H19" s="1105"/>
      <c r="I19" s="1105"/>
    </row>
    <row r="20" spans="1:9" s="1600" customFormat="1" ht="19.5" customHeight="1">
      <c r="A20" s="3418"/>
      <c r="B20" s="3418"/>
      <c r="C20" s="1131" t="s">
        <v>1454</v>
      </c>
      <c r="D20" s="1132"/>
      <c r="E20" s="1154">
        <v>1.1000000000000001</v>
      </c>
      <c r="F20" s="1133" t="s">
        <v>1455</v>
      </c>
      <c r="G20" s="1134"/>
      <c r="H20" s="1105"/>
      <c r="I20" s="1105"/>
    </row>
    <row r="21" spans="1:9" s="1600" customFormat="1" ht="19.5" customHeight="1">
      <c r="A21" s="3418"/>
      <c r="B21" s="3418"/>
      <c r="C21" s="1131" t="s">
        <v>1456</v>
      </c>
      <c r="D21" s="1132"/>
      <c r="E21" s="1154">
        <v>0.8</v>
      </c>
      <c r="F21" s="1133" t="s">
        <v>1457</v>
      </c>
      <c r="G21" s="1134"/>
      <c r="H21" s="1105"/>
      <c r="I21" s="1105"/>
    </row>
    <row r="22" spans="1:9" s="1600" customFormat="1" ht="19.5" customHeight="1">
      <c r="A22" s="3418"/>
      <c r="B22" s="3418"/>
      <c r="C22" s="1131" t="s">
        <v>1458</v>
      </c>
      <c r="D22" s="1132"/>
      <c r="E22" s="1154">
        <v>0.5</v>
      </c>
      <c r="F22" s="1133"/>
      <c r="G22" s="1134"/>
      <c r="H22" s="1105"/>
      <c r="I22" s="1105"/>
    </row>
    <row r="23" spans="1:9" s="1600" customFormat="1" ht="19.5" customHeight="1">
      <c r="A23" s="3418" t="s">
        <v>1031</v>
      </c>
      <c r="B23" s="1154" t="s">
        <v>1448</v>
      </c>
      <c r="C23" s="1131" t="s">
        <v>1459</v>
      </c>
      <c r="D23" s="1132"/>
      <c r="E23" s="1154">
        <v>1</v>
      </c>
      <c r="F23" s="1133" t="s">
        <v>1460</v>
      </c>
      <c r="G23" s="1134"/>
      <c r="H23" s="1105"/>
      <c r="I23" s="1105"/>
    </row>
    <row r="24" spans="1:9" s="1600" customFormat="1" ht="19.5" customHeight="1">
      <c r="A24" s="3418"/>
      <c r="B24" s="3418" t="s">
        <v>1451</v>
      </c>
      <c r="C24" s="1131" t="s">
        <v>1461</v>
      </c>
      <c r="D24" s="1132"/>
      <c r="E24" s="1154">
        <v>0.5</v>
      </c>
      <c r="F24" s="1133"/>
      <c r="G24" s="1134"/>
      <c r="H24" s="1105"/>
      <c r="I24" s="1105"/>
    </row>
    <row r="25" spans="1:9" s="1600" customFormat="1" ht="19.5" customHeight="1">
      <c r="A25" s="3418"/>
      <c r="B25" s="3418"/>
      <c r="C25" s="1131" t="s">
        <v>1462</v>
      </c>
      <c r="D25" s="1132"/>
      <c r="E25" s="1154">
        <v>1.1000000000000001</v>
      </c>
      <c r="F25" s="1133"/>
      <c r="G25" s="1134"/>
      <c r="H25" s="1105"/>
      <c r="I25" s="1105"/>
    </row>
    <row r="26" spans="1:9" s="1600" customFormat="1" ht="19.5" customHeight="1">
      <c r="A26" s="3418"/>
      <c r="B26" s="3418"/>
      <c r="C26" s="1131" t="s">
        <v>1463</v>
      </c>
      <c r="D26" s="1132"/>
      <c r="E26" s="1154">
        <v>1.1000000000000001</v>
      </c>
      <c r="F26" s="1133"/>
      <c r="G26" s="1134"/>
      <c r="H26" s="1105"/>
      <c r="I26" s="1105"/>
    </row>
    <row r="27" spans="1:9" s="1600" customFormat="1" ht="19.5" customHeight="1">
      <c r="A27" s="3418"/>
      <c r="B27" s="3418"/>
      <c r="C27" s="1131" t="s">
        <v>1464</v>
      </c>
      <c r="D27" s="1132"/>
      <c r="E27" s="1154">
        <v>0.9</v>
      </c>
      <c r="F27" s="1133" t="s">
        <v>1465</v>
      </c>
      <c r="G27" s="1134"/>
      <c r="H27" s="1105"/>
      <c r="I27" s="1105"/>
    </row>
    <row r="28" spans="1:9" s="1600" customFormat="1" ht="19.5" customHeight="1">
      <c r="A28" s="3418"/>
      <c r="B28" s="3418"/>
      <c r="C28" s="1131" t="s">
        <v>1466</v>
      </c>
      <c r="D28" s="1132"/>
      <c r="E28" s="1154">
        <v>0.9</v>
      </c>
      <c r="F28" s="1133" t="s">
        <v>1467</v>
      </c>
      <c r="G28" s="1134"/>
      <c r="H28" s="1105"/>
      <c r="I28" s="1105"/>
    </row>
    <row r="29" spans="1:9" s="1600" customFormat="1" ht="19.5" customHeight="1">
      <c r="A29" s="3418"/>
      <c r="B29" s="3418"/>
      <c r="C29" s="1131" t="s">
        <v>1468</v>
      </c>
      <c r="D29" s="1132"/>
      <c r="E29" s="1154">
        <v>0.9</v>
      </c>
      <c r="F29" s="1133" t="s">
        <v>1469</v>
      </c>
      <c r="G29" s="1134"/>
      <c r="H29" s="1105"/>
      <c r="I29" s="1105"/>
    </row>
    <row r="30" spans="1:9" s="1600" customFormat="1" ht="19.5" customHeight="1">
      <c r="A30" s="3418"/>
      <c r="B30" s="3418"/>
      <c r="C30" s="1131" t="s">
        <v>1470</v>
      </c>
      <c r="D30" s="1132"/>
      <c r="E30" s="1154">
        <v>0.9</v>
      </c>
      <c r="F30" s="1133" t="s">
        <v>1471</v>
      </c>
      <c r="G30" s="1134"/>
      <c r="H30" s="1105"/>
      <c r="I30" s="1105"/>
    </row>
    <row r="31" spans="1:9" s="1600" customFormat="1" ht="19.5" customHeight="1">
      <c r="A31" s="3418"/>
      <c r="B31" s="3418"/>
      <c r="C31" s="1131" t="s">
        <v>1472</v>
      </c>
      <c r="D31" s="1132"/>
      <c r="E31" s="1154">
        <v>0.8</v>
      </c>
      <c r="F31" s="1133" t="s">
        <v>1473</v>
      </c>
      <c r="G31" s="1134"/>
      <c r="H31" s="1105"/>
      <c r="I31" s="1105"/>
    </row>
    <row r="32" spans="1:9" s="1600" customFormat="1" ht="19.5" customHeight="1">
      <c r="A32" s="3418"/>
      <c r="B32" s="3418"/>
      <c r="C32" s="1131" t="s">
        <v>1474</v>
      </c>
      <c r="D32" s="1132"/>
      <c r="E32" s="1154">
        <v>0.8</v>
      </c>
      <c r="F32" s="1133" t="s">
        <v>1475</v>
      </c>
      <c r="G32" s="1134"/>
      <c r="H32" s="1105"/>
      <c r="I32" s="1105"/>
    </row>
    <row r="33" spans="1:9" s="1600" customFormat="1" ht="19.5" customHeight="1">
      <c r="A33" s="3418" t="s">
        <v>1476</v>
      </c>
      <c r="B33" s="1154" t="s">
        <v>1448</v>
      </c>
      <c r="C33" s="1131" t="s">
        <v>1477</v>
      </c>
      <c r="D33" s="1132"/>
      <c r="E33" s="1154">
        <v>1</v>
      </c>
      <c r="F33" s="1133" t="s">
        <v>1478</v>
      </c>
      <c r="G33" s="1134"/>
      <c r="H33" s="1105"/>
      <c r="I33" s="1105"/>
    </row>
    <row r="34" spans="1:9" s="1600" customFormat="1" ht="19.5" customHeight="1">
      <c r="A34" s="3418"/>
      <c r="B34" s="1154" t="s">
        <v>1451</v>
      </c>
      <c r="C34" s="1131" t="s">
        <v>1479</v>
      </c>
      <c r="D34" s="1132"/>
      <c r="E34" s="1154">
        <v>1.5</v>
      </c>
      <c r="F34" s="1133" t="s">
        <v>1480</v>
      </c>
      <c r="G34" s="1134"/>
      <c r="H34" s="1105"/>
      <c r="I34" s="1105"/>
    </row>
    <row r="35" spans="1:9" s="1600" customFormat="1" ht="19.5" customHeight="1">
      <c r="A35" s="3418" t="s">
        <v>1434</v>
      </c>
      <c r="B35" s="1154" t="s">
        <v>1448</v>
      </c>
      <c r="C35" s="1131" t="s">
        <v>1481</v>
      </c>
      <c r="D35" s="1132"/>
      <c r="E35" s="1154">
        <v>1</v>
      </c>
      <c r="F35" s="1133" t="s">
        <v>1482</v>
      </c>
      <c r="G35" s="1134"/>
      <c r="H35" s="1105"/>
      <c r="I35" s="1105"/>
    </row>
    <row r="36" spans="1:9" s="1600" customFormat="1" ht="19.5" customHeight="1">
      <c r="A36" s="3418"/>
      <c r="B36" s="3418" t="s">
        <v>1451</v>
      </c>
      <c r="C36" s="1131" t="s">
        <v>1483</v>
      </c>
      <c r="D36" s="1132"/>
      <c r="E36" s="1154">
        <v>1</v>
      </c>
      <c r="F36" s="1133" t="s">
        <v>1484</v>
      </c>
      <c r="G36" s="1134"/>
      <c r="H36" s="1105"/>
      <c r="I36" s="1105"/>
    </row>
    <row r="37" spans="1:9" s="1600" customFormat="1" ht="19.5" customHeight="1">
      <c r="A37" s="3418"/>
      <c r="B37" s="3418"/>
      <c r="C37" s="1131" t="s">
        <v>1485</v>
      </c>
      <c r="D37" s="1132"/>
      <c r="E37" s="1154">
        <v>1.5</v>
      </c>
      <c r="F37" s="1133" t="s">
        <v>1486</v>
      </c>
      <c r="G37" s="1134"/>
      <c r="H37" s="1105"/>
      <c r="I37" s="1105"/>
    </row>
    <row r="38" spans="1:9" s="1600" customFormat="1" ht="19.5" customHeight="1">
      <c r="A38" s="3418"/>
      <c r="B38" s="3418"/>
      <c r="C38" s="1131" t="s">
        <v>1487</v>
      </c>
      <c r="D38" s="1132"/>
      <c r="E38" s="1154">
        <v>1</v>
      </c>
      <c r="F38" s="1133" t="s">
        <v>1488</v>
      </c>
      <c r="G38" s="1134"/>
      <c r="H38" s="1105"/>
      <c r="I38" s="1105"/>
    </row>
    <row r="39" spans="1:9" s="1600" customFormat="1" ht="19.5" customHeight="1">
      <c r="A39" s="3418"/>
      <c r="B39" s="3418"/>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18" t="s">
        <v>1503</v>
      </c>
      <c r="C61" s="1068" t="s">
        <v>1504</v>
      </c>
      <c r="D61" s="1068" t="s">
        <v>1505</v>
      </c>
      <c r="E61" s="1139">
        <v>0.5</v>
      </c>
      <c r="F61" s="1154">
        <v>80</v>
      </c>
      <c r="H61" s="1105">
        <f>SUMIF(C59:C119,基准地价!C8,E59:E119)</f>
        <v>0</v>
      </c>
    </row>
    <row r="62" spans="1:8" s="1105" customFormat="1" ht="24">
      <c r="A62" s="1154">
        <v>2</v>
      </c>
      <c r="B62" s="3418"/>
      <c r="C62" s="1068" t="s">
        <v>1506</v>
      </c>
      <c r="D62" s="1068" t="s">
        <v>1507</v>
      </c>
      <c r="E62" s="1139">
        <v>0.5</v>
      </c>
      <c r="F62" s="1154">
        <v>80</v>
      </c>
    </row>
    <row r="63" spans="1:8" s="1105" customFormat="1" ht="36">
      <c r="A63" s="1154">
        <v>3</v>
      </c>
      <c r="B63" s="3418"/>
      <c r="C63" s="1068" t="s">
        <v>1508</v>
      </c>
      <c r="D63" s="1068" t="s">
        <v>1509</v>
      </c>
      <c r="E63" s="1139">
        <v>0.5</v>
      </c>
      <c r="F63" s="1154">
        <v>80</v>
      </c>
    </row>
    <row r="64" spans="1:8" s="1105" customFormat="1" ht="36">
      <c r="A64" s="1154">
        <v>4</v>
      </c>
      <c r="B64" s="3418"/>
      <c r="C64" s="1068" t="s">
        <v>1510</v>
      </c>
      <c r="D64" s="1068" t="s">
        <v>1511</v>
      </c>
      <c r="E64" s="1139">
        <v>0.4</v>
      </c>
      <c r="F64" s="1154">
        <v>60</v>
      </c>
    </row>
    <row r="65" spans="1:6" s="1105" customFormat="1" ht="36">
      <c r="A65" s="1154">
        <v>5</v>
      </c>
      <c r="B65" s="3418"/>
      <c r="C65" s="1068" t="s">
        <v>1512</v>
      </c>
      <c r="D65" s="1068" t="s">
        <v>1513</v>
      </c>
      <c r="E65" s="1139">
        <v>0.2</v>
      </c>
      <c r="F65" s="1154">
        <v>30</v>
      </c>
    </row>
    <row r="66" spans="1:6" s="1105" customFormat="1" ht="36">
      <c r="A66" s="1154">
        <v>6</v>
      </c>
      <c r="B66" s="3418"/>
      <c r="C66" s="1068" t="s">
        <v>1514</v>
      </c>
      <c r="D66" s="1068" t="s">
        <v>1515</v>
      </c>
      <c r="E66" s="1139">
        <v>0.3</v>
      </c>
      <c r="F66" s="1154">
        <v>50</v>
      </c>
    </row>
    <row r="67" spans="1:6" s="1105" customFormat="1" ht="36">
      <c r="A67" s="1154">
        <v>7</v>
      </c>
      <c r="B67" s="3418"/>
      <c r="C67" s="1068" t="s">
        <v>1516</v>
      </c>
      <c r="D67" s="1068" t="s">
        <v>1517</v>
      </c>
      <c r="E67" s="1139">
        <v>0.2</v>
      </c>
      <c r="F67" s="1154">
        <v>30</v>
      </c>
    </row>
    <row r="68" spans="1:6" s="1105" customFormat="1" ht="36">
      <c r="A68" s="1154">
        <v>8</v>
      </c>
      <c r="B68" s="3418"/>
      <c r="C68" s="1068" t="s">
        <v>1518</v>
      </c>
      <c r="D68" s="1068" t="s">
        <v>1519</v>
      </c>
      <c r="E68" s="1139">
        <v>0.2</v>
      </c>
      <c r="F68" s="1154">
        <v>30</v>
      </c>
    </row>
    <row r="69" spans="1:6" s="1105" customFormat="1" ht="36">
      <c r="A69" s="1154">
        <v>9</v>
      </c>
      <c r="B69" s="3418"/>
      <c r="C69" s="1068" t="s">
        <v>1520</v>
      </c>
      <c r="D69" s="1068" t="s">
        <v>1521</v>
      </c>
      <c r="E69" s="1139">
        <v>0.2</v>
      </c>
      <c r="F69" s="1154">
        <v>30</v>
      </c>
    </row>
    <row r="70" spans="1:6" s="1105" customFormat="1" ht="48">
      <c r="A70" s="1154">
        <v>10</v>
      </c>
      <c r="B70" s="3418"/>
      <c r="C70" s="1068" t="s">
        <v>1522</v>
      </c>
      <c r="D70" s="1068" t="s">
        <v>1523</v>
      </c>
      <c r="E70" s="1139">
        <v>0.2</v>
      </c>
      <c r="F70" s="1154">
        <v>30</v>
      </c>
    </row>
    <row r="71" spans="1:6" s="1105" customFormat="1" ht="48">
      <c r="A71" s="1154">
        <v>11</v>
      </c>
      <c r="B71" s="3418"/>
      <c r="C71" s="1068" t="s">
        <v>1524</v>
      </c>
      <c r="D71" s="1068" t="s">
        <v>1525</v>
      </c>
      <c r="E71" s="1139">
        <v>0.2</v>
      </c>
      <c r="F71" s="1154">
        <v>30</v>
      </c>
    </row>
    <row r="72" spans="1:6" s="1105" customFormat="1" ht="36">
      <c r="A72" s="1154">
        <v>12</v>
      </c>
      <c r="B72" s="3418"/>
      <c r="C72" s="1068" t="s">
        <v>1526</v>
      </c>
      <c r="D72" s="1068" t="s">
        <v>1527</v>
      </c>
      <c r="E72" s="1139">
        <v>0.5</v>
      </c>
      <c r="F72" s="1154">
        <v>80</v>
      </c>
    </row>
    <row r="73" spans="1:6" s="1105" customFormat="1" ht="24">
      <c r="A73" s="1154">
        <v>13</v>
      </c>
      <c r="B73" s="3418"/>
      <c r="C73" s="1068" t="s">
        <v>1528</v>
      </c>
      <c r="D73" s="1068" t="s">
        <v>1529</v>
      </c>
      <c r="E73" s="1139">
        <v>0.4</v>
      </c>
      <c r="F73" s="1154">
        <v>60</v>
      </c>
    </row>
    <row r="74" spans="1:6" s="1105" customFormat="1" ht="24">
      <c r="A74" s="1154">
        <v>14</v>
      </c>
      <c r="B74" s="3418"/>
      <c r="C74" s="1068" t="s">
        <v>1530</v>
      </c>
      <c r="D74" s="1068" t="s">
        <v>1531</v>
      </c>
      <c r="E74" s="1139">
        <v>0.2</v>
      </c>
      <c r="F74" s="1154">
        <v>30</v>
      </c>
    </row>
    <row r="75" spans="1:6" s="1105" customFormat="1" ht="24">
      <c r="A75" s="1154">
        <v>15</v>
      </c>
      <c r="B75" s="3418"/>
      <c r="C75" s="1068" t="s">
        <v>1532</v>
      </c>
      <c r="D75" s="1068" t="s">
        <v>1533</v>
      </c>
      <c r="E75" s="1139">
        <v>0.2</v>
      </c>
      <c r="F75" s="1154">
        <v>30</v>
      </c>
    </row>
    <row r="76" spans="1:6" s="1105" customFormat="1" ht="24">
      <c r="A76" s="1154">
        <v>16</v>
      </c>
      <c r="B76" s="3418" t="s">
        <v>1534</v>
      </c>
      <c r="C76" s="1068" t="s">
        <v>1535</v>
      </c>
      <c r="D76" s="1068" t="s">
        <v>1536</v>
      </c>
      <c r="E76" s="1139">
        <v>0.5</v>
      </c>
      <c r="F76" s="1154">
        <v>80</v>
      </c>
    </row>
    <row r="77" spans="1:6" s="1105" customFormat="1" ht="24">
      <c r="A77" s="1154">
        <v>17</v>
      </c>
      <c r="B77" s="3418"/>
      <c r="C77" s="1068" t="s">
        <v>1537</v>
      </c>
      <c r="D77" s="1068" t="s">
        <v>1538</v>
      </c>
      <c r="E77" s="1139">
        <v>0.5</v>
      </c>
      <c r="F77" s="1154">
        <v>80</v>
      </c>
    </row>
    <row r="78" spans="1:6" s="1105" customFormat="1" ht="24">
      <c r="A78" s="1154">
        <v>18</v>
      </c>
      <c r="B78" s="3418"/>
      <c r="C78" s="1068" t="s">
        <v>1539</v>
      </c>
      <c r="D78" s="1068" t="s">
        <v>1540</v>
      </c>
      <c r="E78" s="1139">
        <v>0.2</v>
      </c>
      <c r="F78" s="1154">
        <v>30</v>
      </c>
    </row>
    <row r="79" spans="1:6" s="1105" customFormat="1" ht="24">
      <c r="A79" s="1154">
        <v>19</v>
      </c>
      <c r="B79" s="3418"/>
      <c r="C79" s="1068" t="s">
        <v>1541</v>
      </c>
      <c r="D79" s="1068" t="s">
        <v>1542</v>
      </c>
      <c r="E79" s="1139">
        <v>0.5</v>
      </c>
      <c r="F79" s="1154">
        <v>80</v>
      </c>
    </row>
    <row r="80" spans="1:6" s="1105" customFormat="1" ht="36">
      <c r="A80" s="1154">
        <v>20</v>
      </c>
      <c r="B80" s="3418"/>
      <c r="C80" s="1068" t="s">
        <v>1543</v>
      </c>
      <c r="D80" s="1068" t="s">
        <v>1544</v>
      </c>
      <c r="E80" s="1139">
        <v>0.2</v>
      </c>
      <c r="F80" s="1154">
        <v>30</v>
      </c>
    </row>
    <row r="81" spans="1:6" s="1105" customFormat="1" ht="36">
      <c r="A81" s="1154">
        <v>21</v>
      </c>
      <c r="B81" s="3418"/>
      <c r="C81" s="1068" t="s">
        <v>1545</v>
      </c>
      <c r="D81" s="1068" t="s">
        <v>1546</v>
      </c>
      <c r="E81" s="1139">
        <v>0.2</v>
      </c>
      <c r="F81" s="1154">
        <v>30</v>
      </c>
    </row>
    <row r="82" spans="1:6" s="1105" customFormat="1" ht="48">
      <c r="A82" s="1154">
        <v>22</v>
      </c>
      <c r="B82" s="3418"/>
      <c r="C82" s="1068" t="s">
        <v>1547</v>
      </c>
      <c r="D82" s="1068" t="s">
        <v>1548</v>
      </c>
      <c r="E82" s="1139">
        <v>0.2</v>
      </c>
      <c r="F82" s="1154">
        <v>30</v>
      </c>
    </row>
    <row r="83" spans="1:6" s="1105" customFormat="1" ht="48">
      <c r="A83" s="1154">
        <v>23</v>
      </c>
      <c r="B83" s="3418"/>
      <c r="C83" s="1068" t="s">
        <v>1549</v>
      </c>
      <c r="D83" s="1068" t="s">
        <v>1550</v>
      </c>
      <c r="E83" s="1139">
        <v>0.2</v>
      </c>
      <c r="F83" s="1154">
        <v>30</v>
      </c>
    </row>
    <row r="84" spans="1:6" s="1105" customFormat="1" ht="36">
      <c r="A84" s="1154">
        <v>24</v>
      </c>
      <c r="B84" s="3418"/>
      <c r="C84" s="1068" t="s">
        <v>1551</v>
      </c>
      <c r="D84" s="1068" t="s">
        <v>1552</v>
      </c>
      <c r="E84" s="1139">
        <v>0.2</v>
      </c>
      <c r="F84" s="1154">
        <v>30</v>
      </c>
    </row>
    <row r="85" spans="1:6" s="1105" customFormat="1" ht="36">
      <c r="A85" s="1154">
        <v>25</v>
      </c>
      <c r="B85" s="3418"/>
      <c r="C85" s="1068" t="s">
        <v>1553</v>
      </c>
      <c r="D85" s="1068" t="s">
        <v>1554</v>
      </c>
      <c r="E85" s="1139">
        <v>0.5</v>
      </c>
      <c r="F85" s="1154">
        <v>80</v>
      </c>
    </row>
    <row r="86" spans="1:6" s="1105" customFormat="1" ht="36">
      <c r="A86" s="1154">
        <v>26</v>
      </c>
      <c r="B86" s="3418"/>
      <c r="C86" s="1068" t="s">
        <v>1555</v>
      </c>
      <c r="D86" s="1068" t="s">
        <v>1556</v>
      </c>
      <c r="E86" s="1139">
        <v>0.2</v>
      </c>
      <c r="F86" s="1154">
        <v>30</v>
      </c>
    </row>
    <row r="87" spans="1:6" s="1105" customFormat="1" ht="36">
      <c r="A87" s="1154">
        <v>27</v>
      </c>
      <c r="B87" s="3418"/>
      <c r="C87" s="1068" t="s">
        <v>1557</v>
      </c>
      <c r="D87" s="1068" t="s">
        <v>1558</v>
      </c>
      <c r="E87" s="1139">
        <v>0.2</v>
      </c>
      <c r="F87" s="1154">
        <v>30</v>
      </c>
    </row>
    <row r="88" spans="1:6" s="1105" customFormat="1" ht="36">
      <c r="A88" s="1154">
        <v>28</v>
      </c>
      <c r="B88" s="3418"/>
      <c r="C88" s="1068" t="s">
        <v>1559</v>
      </c>
      <c r="D88" s="1068" t="s">
        <v>1560</v>
      </c>
      <c r="E88" s="1139">
        <v>0.2</v>
      </c>
      <c r="F88" s="1154">
        <v>30</v>
      </c>
    </row>
    <row r="89" spans="1:6" s="1105" customFormat="1" ht="24">
      <c r="A89" s="1154">
        <v>29</v>
      </c>
      <c r="B89" s="3418"/>
      <c r="C89" s="1068" t="s">
        <v>1561</v>
      </c>
      <c r="D89" s="1068" t="s">
        <v>1562</v>
      </c>
      <c r="E89" s="1139">
        <v>0.2</v>
      </c>
      <c r="F89" s="1154">
        <v>30</v>
      </c>
    </row>
    <row r="90" spans="1:6" s="1105" customFormat="1" ht="24">
      <c r="A90" s="1154">
        <v>30</v>
      </c>
      <c r="B90" s="3418"/>
      <c r="C90" s="1068" t="s">
        <v>1563</v>
      </c>
      <c r="D90" s="1068" t="s">
        <v>1564</v>
      </c>
      <c r="E90" s="1139">
        <v>0.2</v>
      </c>
      <c r="F90" s="1154">
        <v>30</v>
      </c>
    </row>
    <row r="91" spans="1:6" s="1105" customFormat="1" ht="36">
      <c r="A91" s="1154">
        <v>31</v>
      </c>
      <c r="B91" s="3418"/>
      <c r="C91" s="1068" t="s">
        <v>1565</v>
      </c>
      <c r="D91" s="1068" t="s">
        <v>1566</v>
      </c>
      <c r="E91" s="1139">
        <v>0.2</v>
      </c>
      <c r="F91" s="1154">
        <v>30</v>
      </c>
    </row>
    <row r="92" spans="1:6" s="1105" customFormat="1" ht="24">
      <c r="A92" s="1154">
        <v>32</v>
      </c>
      <c r="B92" s="3418" t="s">
        <v>1567</v>
      </c>
      <c r="C92" s="1154" t="s">
        <v>1568</v>
      </c>
      <c r="D92" s="1068" t="s">
        <v>1569</v>
      </c>
      <c r="E92" s="1139">
        <v>0.2</v>
      </c>
      <c r="F92" s="1154">
        <v>30</v>
      </c>
    </row>
    <row r="93" spans="1:6" s="1105" customFormat="1" ht="36">
      <c r="A93" s="1154">
        <v>33</v>
      </c>
      <c r="B93" s="3418"/>
      <c r="C93" s="1154" t="s">
        <v>1570</v>
      </c>
      <c r="D93" s="1068" t="s">
        <v>1571</v>
      </c>
      <c r="E93" s="1139">
        <v>0.2</v>
      </c>
      <c r="F93" s="1154">
        <v>30</v>
      </c>
    </row>
    <row r="94" spans="1:6" s="1105" customFormat="1" ht="48">
      <c r="A94" s="1154">
        <v>34</v>
      </c>
      <c r="B94" s="3418"/>
      <c r="C94" s="1154" t="s">
        <v>1572</v>
      </c>
      <c r="D94" s="1068" t="s">
        <v>1573</v>
      </c>
      <c r="E94" s="1139">
        <v>0.2</v>
      </c>
      <c r="F94" s="1154">
        <v>30</v>
      </c>
    </row>
    <row r="95" spans="1:6" s="1105" customFormat="1" ht="36">
      <c r="A95" s="1154">
        <v>35</v>
      </c>
      <c r="B95" s="3418"/>
      <c r="C95" s="1154" t="s">
        <v>1574</v>
      </c>
      <c r="D95" s="1068" t="s">
        <v>1575</v>
      </c>
      <c r="E95" s="1139">
        <v>0.2</v>
      </c>
      <c r="F95" s="1154">
        <v>30</v>
      </c>
    </row>
    <row r="96" spans="1:6" s="1105" customFormat="1" ht="48">
      <c r="A96" s="1154">
        <v>36</v>
      </c>
      <c r="B96" s="3418"/>
      <c r="C96" s="1068" t="s">
        <v>1576</v>
      </c>
      <c r="D96" s="1068" t="s">
        <v>1577</v>
      </c>
      <c r="E96" s="1139">
        <v>0.2</v>
      </c>
      <c r="F96" s="1154">
        <v>30</v>
      </c>
    </row>
    <row r="97" spans="1:6" s="1105" customFormat="1" ht="36">
      <c r="A97" s="1154">
        <v>37</v>
      </c>
      <c r="B97" s="3418"/>
      <c r="C97" s="1154" t="s">
        <v>1578</v>
      </c>
      <c r="D97" s="1068" t="s">
        <v>1579</v>
      </c>
      <c r="E97" s="1139">
        <v>0.2</v>
      </c>
      <c r="F97" s="1154">
        <v>30</v>
      </c>
    </row>
    <row r="98" spans="1:6" s="1105" customFormat="1" ht="36">
      <c r="A98" s="1154">
        <v>38</v>
      </c>
      <c r="B98" s="3418"/>
      <c r="C98" s="1154" t="s">
        <v>1580</v>
      </c>
      <c r="D98" s="1068" t="s">
        <v>1581</v>
      </c>
      <c r="E98" s="1139">
        <v>0.2</v>
      </c>
      <c r="F98" s="1154">
        <v>30</v>
      </c>
    </row>
    <row r="99" spans="1:6" s="1105" customFormat="1" ht="36">
      <c r="A99" s="1154">
        <v>39</v>
      </c>
      <c r="B99" s="3418" t="s">
        <v>1582</v>
      </c>
      <c r="C99" s="1154" t="s">
        <v>1583</v>
      </c>
      <c r="D99" s="1068" t="s">
        <v>1584</v>
      </c>
      <c r="E99" s="1139">
        <v>0.3</v>
      </c>
      <c r="F99" s="1154">
        <v>50</v>
      </c>
    </row>
    <row r="100" spans="1:6" s="1105" customFormat="1" ht="24">
      <c r="A100" s="1154">
        <v>40</v>
      </c>
      <c r="B100" s="3418"/>
      <c r="C100" s="1154" t="s">
        <v>1585</v>
      </c>
      <c r="D100" s="1068" t="s">
        <v>1586</v>
      </c>
      <c r="E100" s="1139">
        <v>0.2</v>
      </c>
      <c r="F100" s="1154">
        <v>30</v>
      </c>
    </row>
    <row r="101" spans="1:6" s="1105" customFormat="1" ht="36">
      <c r="A101" s="1154">
        <v>41</v>
      </c>
      <c r="B101" s="3418"/>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18" t="s">
        <v>1597</v>
      </c>
      <c r="C105" s="1154" t="s">
        <v>1598</v>
      </c>
      <c r="D105" s="1068" t="s">
        <v>1599</v>
      </c>
      <c r="E105" s="1139">
        <v>0.2</v>
      </c>
      <c r="F105" s="1154">
        <v>30</v>
      </c>
    </row>
    <row r="106" spans="1:6" s="1105" customFormat="1" ht="36">
      <c r="A106" s="1154">
        <v>46</v>
      </c>
      <c r="B106" s="3418"/>
      <c r="C106" s="1154" t="s">
        <v>1600</v>
      </c>
      <c r="D106" s="1068" t="s">
        <v>1601</v>
      </c>
      <c r="E106" s="1139">
        <v>0.2</v>
      </c>
      <c r="F106" s="1154">
        <v>30</v>
      </c>
    </row>
    <row r="107" spans="1:6" s="1105" customFormat="1" ht="36">
      <c r="A107" s="1154">
        <v>47</v>
      </c>
      <c r="B107" s="3418" t="s">
        <v>1602</v>
      </c>
      <c r="C107" s="1154" t="s">
        <v>1603</v>
      </c>
      <c r="D107" s="1068" t="s">
        <v>1604</v>
      </c>
      <c r="E107" s="1139">
        <v>0.3</v>
      </c>
      <c r="F107" s="1154">
        <v>50</v>
      </c>
    </row>
    <row r="108" spans="1:6" s="1105" customFormat="1" ht="36">
      <c r="A108" s="1154">
        <v>48</v>
      </c>
      <c r="B108" s="3418"/>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18" t="s">
        <v>1613</v>
      </c>
      <c r="C111" s="1154" t="s">
        <v>1614</v>
      </c>
      <c r="D111" s="1068" t="s">
        <v>1615</v>
      </c>
      <c r="E111" s="1139">
        <v>0.2</v>
      </c>
      <c r="F111" s="1154">
        <v>30</v>
      </c>
    </row>
    <row r="112" spans="1:6" s="1105" customFormat="1" ht="24">
      <c r="A112" s="1154">
        <v>52</v>
      </c>
      <c r="B112" s="3418"/>
      <c r="C112" s="1154" t="s">
        <v>1616</v>
      </c>
      <c r="D112" s="1068" t="s">
        <v>1617</v>
      </c>
      <c r="E112" s="1139">
        <v>0.2</v>
      </c>
      <c r="F112" s="1154">
        <v>30</v>
      </c>
    </row>
    <row r="113" spans="1:14" s="1105" customFormat="1" ht="24">
      <c r="A113" s="1154">
        <v>53</v>
      </c>
      <c r="B113" s="3418"/>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18" t="s">
        <v>1626</v>
      </c>
      <c r="C116" s="1154" t="s">
        <v>1627</v>
      </c>
      <c r="D116" s="1068" t="s">
        <v>1628</v>
      </c>
      <c r="E116" s="1139">
        <v>0.2</v>
      </c>
      <c r="F116" s="1154">
        <v>30</v>
      </c>
    </row>
    <row r="117" spans="1:14" ht="36">
      <c r="A117" s="1154">
        <v>57</v>
      </c>
      <c r="B117" s="3418"/>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17" t="s">
        <v>1635</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2" t="s">
        <v>1041</v>
      </c>
      <c r="B1" s="3422"/>
      <c r="C1" s="3422"/>
      <c r="D1" s="3422"/>
      <c r="E1" s="3422"/>
      <c r="F1" s="3422"/>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3" t="s">
        <v>1054</v>
      </c>
      <c r="B2" s="3423"/>
      <c r="C2" s="3423"/>
      <c r="D2" s="3423"/>
      <c r="E2" s="3423"/>
      <c r="F2" s="3423"/>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4"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5"/>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6" t="s">
        <v>2082</v>
      </c>
      <c r="B1" s="3426"/>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2956</v>
      </c>
      <c r="B1" s="3135"/>
      <c r="C1" s="3135"/>
      <c r="D1" s="3135"/>
      <c r="E1" s="3135"/>
      <c r="F1" s="3135"/>
    </row>
    <row r="2" spans="1:6" ht="14.25">
      <c r="A2" s="3136" t="s">
        <v>2950</v>
      </c>
      <c r="B2" s="3137" t="e">
        <f ca="1">SUMIF(B7:B14,"&lt;&gt;#ref!",B7:B14)</f>
        <v>#DIV/0!</v>
      </c>
      <c r="C2" s="3136" t="s">
        <v>2951</v>
      </c>
      <c r="D2" s="3135"/>
      <c r="E2" s="3135"/>
      <c r="F2" s="3135"/>
    </row>
    <row r="3" spans="1:6" ht="14.25">
      <c r="A3" s="3136" t="s">
        <v>2953</v>
      </c>
      <c r="B3" s="3137" t="e">
        <f ca="1">ROUND(B2*10000/E3,0)</f>
        <v>#DIV/0!</v>
      </c>
      <c r="C3" s="3136" t="s">
        <v>2081</v>
      </c>
      <c r="D3" s="3136" t="s">
        <v>2952</v>
      </c>
      <c r="E3" s="3137" t="e">
        <f ca="1">SUM(E7:E14)</f>
        <v>#REF!</v>
      </c>
      <c r="F3" s="3135"/>
    </row>
    <row r="4" spans="1:6" ht="14.25">
      <c r="A4" s="3136" t="s">
        <v>2960</v>
      </c>
      <c r="B4" s="3137" t="e">
        <f ca="1">ROUND(B2*10000/E4,0)</f>
        <v>#DIV/0!</v>
      </c>
      <c r="C4" s="3136" t="s">
        <v>2081</v>
      </c>
      <c r="D4" s="3136" t="s">
        <v>2961</v>
      </c>
      <c r="E4" s="3137" t="e">
        <f ca="1">SUM(F7:F14)</f>
        <v>#REF!</v>
      </c>
      <c r="F4" s="3135"/>
    </row>
    <row r="5" spans="1:6" ht="14.25">
      <c r="A5" s="3138"/>
      <c r="B5" s="1883"/>
      <c r="C5" s="1883"/>
      <c r="D5" s="1883"/>
      <c r="E5" s="1883"/>
      <c r="F5" s="3135"/>
    </row>
    <row r="6" spans="1:6" ht="28.5">
      <c r="A6" s="3139" t="s">
        <v>2957</v>
      </c>
      <c r="B6" s="3136" t="s">
        <v>2954</v>
      </c>
      <c r="C6" s="3137"/>
      <c r="D6" s="1883"/>
      <c r="E6" s="3136" t="s">
        <v>2955</v>
      </c>
      <c r="F6" s="3136" t="s">
        <v>2959</v>
      </c>
    </row>
    <row r="7" spans="1:6" ht="14.25">
      <c r="A7" s="260" t="s">
        <v>2958</v>
      </c>
      <c r="B7" s="3140" t="e">
        <f ca="1">SUMIF(INDIRECT("'"&amp;A7&amp;"'"&amp;"!A:A"),"总价",INDIRECT("'"&amp;A7&amp;"'"&amp;"!B:B"))</f>
        <v>#DIV/0!</v>
      </c>
      <c r="C7" s="3136" t="s">
        <v>2951</v>
      </c>
      <c r="D7" s="1883"/>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2951</v>
      </c>
      <c r="D8" s="1883"/>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2951</v>
      </c>
      <c r="D9" s="1883"/>
      <c r="E9" s="3141" t="e">
        <f t="shared" ca="1" si="1"/>
        <v>#REF!</v>
      </c>
      <c r="F9" s="3141" t="e">
        <f t="shared" ca="1" si="2"/>
        <v>#REF!</v>
      </c>
    </row>
    <row r="10" spans="1:6" ht="14.25">
      <c r="A10" s="260"/>
      <c r="B10" s="3140" t="e">
        <f t="shared" ca="1" si="0"/>
        <v>#REF!</v>
      </c>
      <c r="C10" s="3136" t="s">
        <v>2951</v>
      </c>
      <c r="D10" s="1883"/>
      <c r="E10" s="3141" t="e">
        <f t="shared" ca="1" si="1"/>
        <v>#REF!</v>
      </c>
      <c r="F10" s="3141" t="e">
        <f t="shared" ca="1" si="2"/>
        <v>#REF!</v>
      </c>
    </row>
    <row r="11" spans="1:6" ht="14.25">
      <c r="A11" s="260"/>
      <c r="B11" s="3140" t="e">
        <f t="shared" ca="1" si="0"/>
        <v>#REF!</v>
      </c>
      <c r="C11" s="3136" t="s">
        <v>2951</v>
      </c>
      <c r="D11" s="1883"/>
      <c r="E11" s="3141" t="e">
        <f t="shared" ca="1" si="1"/>
        <v>#REF!</v>
      </c>
      <c r="F11" s="3141" t="e">
        <f t="shared" ca="1" si="2"/>
        <v>#REF!</v>
      </c>
    </row>
    <row r="12" spans="1:6" ht="14.25">
      <c r="A12" s="260"/>
      <c r="B12" s="3140" t="e">
        <f t="shared" ca="1" si="0"/>
        <v>#REF!</v>
      </c>
      <c r="C12" s="3136" t="s">
        <v>2951</v>
      </c>
      <c r="D12" s="1883"/>
      <c r="E12" s="3141" t="e">
        <f t="shared" ca="1" si="1"/>
        <v>#REF!</v>
      </c>
      <c r="F12" s="3141" t="e">
        <f t="shared" ca="1" si="2"/>
        <v>#REF!</v>
      </c>
    </row>
    <row r="13" spans="1:6" ht="14.25">
      <c r="A13" s="260"/>
      <c r="B13" s="3140" t="e">
        <f t="shared" ca="1" si="0"/>
        <v>#REF!</v>
      </c>
      <c r="C13" s="3136" t="s">
        <v>2951</v>
      </c>
      <c r="D13" s="1883"/>
      <c r="E13" s="3141" t="e">
        <f t="shared" ca="1" si="1"/>
        <v>#REF!</v>
      </c>
      <c r="F13" s="3141" t="e">
        <f t="shared" ca="1" si="2"/>
        <v>#REF!</v>
      </c>
    </row>
    <row r="14" spans="1:6" ht="14.25">
      <c r="A14" s="3134"/>
      <c r="B14" s="3140" t="e">
        <f t="shared" ca="1" si="0"/>
        <v>#REF!</v>
      </c>
      <c r="C14" s="3136" t="s">
        <v>2951</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2377</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2462</v>
      </c>
      <c r="C7" s="53">
        <f ca="1">C8+C12+C14</f>
        <v>0</v>
      </c>
      <c r="D7" s="2522" t="s">
        <v>2465</v>
      </c>
      <c r="E7" s="2516"/>
      <c r="F7" s="2517"/>
      <c r="G7" s="1593"/>
      <c r="H7" s="781">
        <v>1</v>
      </c>
      <c r="I7" s="782" t="s">
        <v>2462</v>
      </c>
      <c r="J7" s="53">
        <f ca="1">J8+J12+J14</f>
        <v>0</v>
      </c>
      <c r="K7" s="2522" t="s">
        <v>2465</v>
      </c>
      <c r="L7" s="2516"/>
      <c r="M7" s="2517"/>
    </row>
    <row r="8" spans="1:25" ht="18" customHeight="1">
      <c r="A8" s="1832" t="s">
        <v>1826</v>
      </c>
      <c r="B8" s="3428" t="s">
        <v>2467</v>
      </c>
      <c r="C8" s="1827">
        <f ca="1">ROUND(F8*F10*F9*(1-F11)/10000,0)</f>
        <v>0</v>
      </c>
      <c r="D8" s="1824" t="s">
        <v>2539</v>
      </c>
      <c r="E8" s="61" t="s">
        <v>638</v>
      </c>
      <c r="F8" s="785">
        <f ca="1">INDIRECT("'数据-取费表'!u"&amp;$G$1)</f>
        <v>0</v>
      </c>
      <c r="G8" s="1593"/>
      <c r="H8" s="2530" t="s">
        <v>1826</v>
      </c>
      <c r="I8" s="3428" t="s">
        <v>2467</v>
      </c>
      <c r="J8" s="783">
        <f ca="1">ROUND(M8*M10*M9*(1-M11)/10000,0)</f>
        <v>0</v>
      </c>
      <c r="K8" s="341" t="s">
        <v>2539</v>
      </c>
      <c r="L8" s="784" t="s">
        <v>1740</v>
      </c>
      <c r="M8" s="785">
        <f ca="1">INDIRECT("'数据-取费表'!z"&amp;$G$1)</f>
        <v>0</v>
      </c>
    </row>
    <row r="9" spans="1:25" ht="18" customHeight="1">
      <c r="A9" s="2526"/>
      <c r="B9" s="3429"/>
      <c r="C9" s="1828"/>
      <c r="D9" s="1825"/>
      <c r="E9" s="61" t="s">
        <v>639</v>
      </c>
      <c r="F9" s="785">
        <f ca="1">IF(INDIRECT("'数据-取费表'!ah"&amp;$G$1)="",INDIRECT("'数据-取费表'!k"&amp;$G$1),INDIRECT("'数据-取费表'!ah"&amp;$G$1))</f>
        <v>0</v>
      </c>
      <c r="G9" s="1593"/>
      <c r="H9" s="2515"/>
      <c r="I9" s="3429"/>
      <c r="J9" s="788"/>
      <c r="K9" s="789"/>
      <c r="L9" s="784" t="s">
        <v>1741</v>
      </c>
      <c r="M9" s="785">
        <f ca="1">F9</f>
        <v>0</v>
      </c>
    </row>
    <row r="10" spans="1:25" ht="18" customHeight="1">
      <c r="A10" s="2519"/>
      <c r="B10" s="3430"/>
      <c r="C10" s="1828"/>
      <c r="D10" s="1825"/>
      <c r="E10" s="61" t="s">
        <v>640</v>
      </c>
      <c r="F10" s="785">
        <f ca="1">INDIRECT("'数据-取费表'!ai"&amp;$G$1)</f>
        <v>0</v>
      </c>
      <c r="G10" s="1593"/>
      <c r="H10" s="2515"/>
      <c r="I10" s="3430"/>
      <c r="J10" s="788"/>
      <c r="K10" s="789"/>
      <c r="L10" s="784" t="s">
        <v>1742</v>
      </c>
      <c r="M10" s="785">
        <f ca="1">INDIRECT("'数据-取费表'!ai"&amp;$G$1)</f>
        <v>0</v>
      </c>
    </row>
    <row r="11" spans="1:25" ht="18" customHeight="1">
      <c r="A11" s="786"/>
      <c r="B11" s="3431"/>
      <c r="C11" s="1828"/>
      <c r="D11" s="1825"/>
      <c r="E11" s="61" t="s">
        <v>641</v>
      </c>
      <c r="F11" s="794">
        <f ca="1">INDIRECT("'数据-取费表'!w"&amp;$G$1)</f>
        <v>0</v>
      </c>
      <c r="G11" s="1593"/>
      <c r="H11" s="2531"/>
      <c r="I11" s="3430"/>
      <c r="J11" s="788"/>
      <c r="K11" s="789"/>
      <c r="L11" s="795" t="s">
        <v>1743</v>
      </c>
      <c r="M11" s="796">
        <f ca="1">INDIRECT("'数据-取费表'!ab"&amp;$G$1)</f>
        <v>0</v>
      </c>
    </row>
    <row r="12" spans="1:25" ht="18" customHeight="1">
      <c r="A12" s="1832" t="s">
        <v>1827</v>
      </c>
      <c r="B12" s="2520" t="s">
        <v>2463</v>
      </c>
      <c r="C12" s="799">
        <f ca="1">ROUND(IF(F12="押一",F8*F10*F9/12*F13,IF(F12="押二",F8*F10*F9/12*2*F13,IF(F12="押三",F8*F10*F9/12*3*F13,C13*F13)))/10000,0)</f>
        <v>0</v>
      </c>
      <c r="D12" s="2527" t="s">
        <v>2470</v>
      </c>
      <c r="E12" s="2524" t="s">
        <v>2468</v>
      </c>
      <c r="F12" s="2647"/>
      <c r="G12" s="1593"/>
      <c r="H12" s="2587" t="s">
        <v>1827</v>
      </c>
      <c r="I12" s="2592" t="s">
        <v>2463</v>
      </c>
      <c r="J12" s="783">
        <f ca="1">ROUND(IF(M12="押一",M8*M10*M9/12*M13,IF(M12="押二",M8*M10*M9/12*2*M13,IF(M12="押三",M8*M10*M9/12*3*M13,J13*M13)))/10000,0)</f>
        <v>0</v>
      </c>
      <c r="K12" s="2527" t="s">
        <v>2470</v>
      </c>
      <c r="L12" s="2524" t="s">
        <v>2468</v>
      </c>
      <c r="M12" s="2647"/>
    </row>
    <row r="13" spans="1:25" ht="18" customHeight="1">
      <c r="A13" s="790"/>
      <c r="B13" s="2521" t="s">
        <v>2578</v>
      </c>
      <c r="C13" s="2525"/>
      <c r="D13" s="789"/>
      <c r="E13" s="2524" t="s">
        <v>2460</v>
      </c>
      <c r="F13" s="796">
        <f ca="1">'数据-取费表'!B39</f>
        <v>1.4999999999999999E-2</v>
      </c>
      <c r="G13" s="1593"/>
      <c r="H13" s="2588"/>
      <c r="I13" s="2521" t="s">
        <v>2578</v>
      </c>
      <c r="J13" s="2525"/>
      <c r="K13" s="2589"/>
      <c r="L13" s="2524" t="s">
        <v>2460</v>
      </c>
      <c r="M13" s="2518">
        <f ca="1">'数据-取费表'!B39</f>
        <v>1.4999999999999999E-2</v>
      </c>
    </row>
    <row r="14" spans="1:25" ht="18" customHeight="1" thickBot="1">
      <c r="A14" s="2563" t="s">
        <v>2472</v>
      </c>
      <c r="B14" s="2564" t="s">
        <v>2464</v>
      </c>
      <c r="C14" s="2565"/>
      <c r="D14" s="2566"/>
      <c r="E14" s="2567"/>
      <c r="F14" s="2568"/>
      <c r="G14" s="1593"/>
      <c r="H14" s="2577" t="s">
        <v>2472</v>
      </c>
      <c r="I14" s="2590" t="s">
        <v>2464</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2072</v>
      </c>
      <c r="I16" s="2233" t="s">
        <v>2831</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0.05</v>
      </c>
      <c r="G17" s="1594"/>
      <c r="H17" s="803" t="s">
        <v>2073</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2072</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0.03</v>
      </c>
      <c r="G22" s="1594"/>
      <c r="H22" s="1834" t="s">
        <v>1852</v>
      </c>
      <c r="I22" s="1824" t="s">
        <v>669</v>
      </c>
      <c r="J22" s="54">
        <f ca="1">ROUND(M22*M23/10000,0)</f>
        <v>0</v>
      </c>
      <c r="K22" s="814" t="s">
        <v>670</v>
      </c>
      <c r="L22" s="784" t="s">
        <v>671</v>
      </c>
      <c r="M22" s="640">
        <f>'数据-取费表'!B52</f>
        <v>5</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0.03</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2073</v>
      </c>
      <c r="I24" s="784" t="s">
        <v>677</v>
      </c>
      <c r="J24" s="53">
        <f ca="1">ROUND(J16*M24,0)</f>
        <v>0</v>
      </c>
      <c r="K24" s="1979" t="s">
        <v>678</v>
      </c>
      <c r="L24" s="784" t="s">
        <v>650</v>
      </c>
      <c r="M24" s="817">
        <f ca="1">INDIRECT("'数据-取费表'!Ak"&amp;$G$1)</f>
        <v>0</v>
      </c>
    </row>
    <row r="25" spans="1:25" s="2066" customFormat="1" ht="18" customHeight="1">
      <c r="A25" s="803" t="s">
        <v>1877</v>
      </c>
      <c r="B25" s="784" t="s">
        <v>2440</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2.2000000000000001E-3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9" t="s">
        <v>2828</v>
      </c>
      <c r="J27" s="799">
        <f ca="1">J7-J18</f>
        <v>0</v>
      </c>
      <c r="K27" s="1981" t="s">
        <v>701</v>
      </c>
      <c r="L27" s="1983"/>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2829</v>
      </c>
      <c r="C31" s="2570">
        <f ca="1">ROUND((C21+C22+C25+C28)/(1-F23-C26-C29-C30),0)</f>
        <v>0</v>
      </c>
      <c r="D31" s="2571"/>
      <c r="E31" s="2572"/>
      <c r="F31" s="2573"/>
      <c r="G31" s="1594"/>
      <c r="H31" s="823" t="s">
        <v>1874</v>
      </c>
      <c r="I31" s="3040" t="s">
        <v>2830</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5</v>
      </c>
      <c r="G36" s="2064"/>
      <c r="H36" s="2067"/>
      <c r="I36" s="3427"/>
      <c r="J36" s="2081"/>
      <c r="K36" s="2082"/>
      <c r="L36" s="2081"/>
      <c r="M36" s="2081"/>
    </row>
    <row r="37" spans="1:18" ht="18" customHeight="1">
      <c r="A37" s="815"/>
      <c r="B37" s="793"/>
      <c r="C37" s="69"/>
      <c r="D37" s="816"/>
      <c r="E37" s="784" t="s">
        <v>675</v>
      </c>
      <c r="F37" s="785">
        <f ca="1">INDIRECT("'数据-取费表'!r"&amp;$G$1)</f>
        <v>0</v>
      </c>
      <c r="G37" s="2064"/>
      <c r="H37" s="2067"/>
      <c r="I37" s="3427"/>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4" t="s">
        <v>2969</v>
      </c>
      <c r="F43" s="3155">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6">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6"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3"/>
      <c r="Q47" s="1605"/>
      <c r="R47" s="1593"/>
    </row>
    <row r="48" spans="1:18" s="2061" customFormat="1" ht="18" customHeight="1" thickBot="1">
      <c r="A48" s="2086"/>
      <c r="C48" s="2089"/>
      <c r="D48" s="2090"/>
      <c r="E48" s="2090"/>
      <c r="F48" s="2091"/>
      <c r="G48" s="2092"/>
      <c r="I48" s="2384" t="s">
        <v>2346</v>
      </c>
      <c r="J48" s="2389"/>
      <c r="K48" s="2390" t="s">
        <v>2352</v>
      </c>
      <c r="L48" s="2391">
        <f ca="1">INDIRECT("'数据-取费表'!d"&amp;$G$1)</f>
        <v>0</v>
      </c>
      <c r="M48" s="3151"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432"/>
      <c r="L54" s="3433"/>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28" t="s">
        <v>2358</v>
      </c>
      <c r="J56" s="3152" t="e">
        <f ca="1">ROUND(IF(J48="钢混",J58/J51,1-(1-2%)*(J51-J58)/J51),3)</f>
        <v>#VALUE!</v>
      </c>
      <c r="K56" s="2403" t="s">
        <v>2359</v>
      </c>
      <c r="L56" s="2404"/>
      <c r="O56" s="2430" t="s">
        <v>2414</v>
      </c>
      <c r="P56" s="1593"/>
      <c r="Q56" s="1605"/>
      <c r="R56" s="1593"/>
    </row>
    <row r="57" spans="1:18" s="2061" customFormat="1" ht="43.5" thickBot="1">
      <c r="A57" s="2098"/>
      <c r="B57" s="2099"/>
      <c r="C57" s="2099"/>
      <c r="I57" s="2405" t="s">
        <v>2360</v>
      </c>
      <c r="J57" s="3151" t="s">
        <v>1680</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3"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0" t="s">
        <v>2948</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1">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2">
        <v>0</v>
      </c>
      <c r="O65" s="2430" t="s">
        <v>2418</v>
      </c>
      <c r="P65" s="1593"/>
      <c r="Q65" s="1605"/>
      <c r="R65" s="1593"/>
    </row>
    <row r="66" spans="1:18" s="2061" customFormat="1" ht="15.75" thickBot="1">
      <c r="A66" s="2098"/>
      <c r="B66" s="2099"/>
      <c r="C66" s="2099"/>
      <c r="I66" s="2411" t="s">
        <v>2375</v>
      </c>
      <c r="J66" s="2412">
        <v>40</v>
      </c>
      <c r="K66" s="2412">
        <v>30</v>
      </c>
      <c r="L66" s="2412">
        <v>50</v>
      </c>
      <c r="M66" s="3131">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7" spans="1:4" ht="56.25">
      <c r="A7" s="1797" t="s">
        <v>2753</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10667平方米。根据《建设工程规划许可证》[]、《出让合同》[]，估价对象规划建筑面积为8000.25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本次估价对象为出让国有建设用地使用权，《国有土地使用证》[]证载土地终止日期为住宅2062年11月18日。截至估价期日，出让国有建设用地使用权剩余土地使用年限为。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0" t="s">
        <v>2581</v>
      </c>
      <c r="C1" s="3440"/>
      <c r="D1" s="3440"/>
      <c r="E1" s="3440"/>
      <c r="F1" s="3440"/>
      <c r="G1" s="3439" t="s">
        <v>2582</v>
      </c>
      <c r="H1" s="3439"/>
      <c r="I1" s="3439"/>
      <c r="J1" s="3439"/>
      <c r="K1" s="3439"/>
      <c r="L1" s="3439"/>
      <c r="N1" s="3439" t="s">
        <v>2583</v>
      </c>
      <c r="O1" s="3439"/>
      <c r="P1" s="3439"/>
      <c r="Q1" s="3439"/>
      <c r="R1" s="2681"/>
      <c r="S1" s="3439" t="s">
        <v>2584</v>
      </c>
      <c r="T1" s="3439"/>
      <c r="U1" s="3439"/>
      <c r="V1" s="3439"/>
      <c r="X1" s="3438" t="s">
        <v>2645</v>
      </c>
      <c r="Y1" s="3439"/>
      <c r="Z1" s="3439"/>
      <c r="AA1" s="3439"/>
      <c r="AB1" s="3439"/>
      <c r="AD1" s="3438" t="s">
        <v>2650</v>
      </c>
      <c r="AE1" s="3439"/>
      <c r="AF1" s="3439"/>
      <c r="AG1" s="3439"/>
      <c r="AH1" s="3439"/>
    </row>
    <row r="2" spans="1:34" s="2783" customFormat="1" ht="14.25" thickBot="1">
      <c r="B2" s="2792" t="s">
        <v>2585</v>
      </c>
      <c r="C2" s="2792" t="s">
        <v>2648</v>
      </c>
      <c r="D2" s="2784" t="s">
        <v>1646</v>
      </c>
      <c r="E2" s="2784" t="s">
        <v>1953</v>
      </c>
      <c r="F2" s="2792" t="s">
        <v>2649</v>
      </c>
      <c r="G2" s="2787"/>
      <c r="H2" s="2786"/>
      <c r="I2" s="2792" t="s">
        <v>2963</v>
      </c>
      <c r="J2" s="2784" t="s">
        <v>2965</v>
      </c>
      <c r="K2" s="2784" t="s">
        <v>2966</v>
      </c>
      <c r="L2" s="2792" t="s">
        <v>2967</v>
      </c>
      <c r="N2" s="2792" t="s">
        <v>2585</v>
      </c>
      <c r="O2" s="2784" t="s">
        <v>2964</v>
      </c>
      <c r="P2" s="2784" t="s">
        <v>1953</v>
      </c>
      <c r="Q2" s="2792" t="s">
        <v>2649</v>
      </c>
      <c r="R2" s="2785"/>
      <c r="S2" s="2792" t="s">
        <v>2585</v>
      </c>
      <c r="T2" s="2784" t="s">
        <v>2964</v>
      </c>
      <c r="U2" s="2784" t="s">
        <v>1953</v>
      </c>
      <c r="V2" s="2792" t="s">
        <v>2649</v>
      </c>
      <c r="X2" s="2792" t="s">
        <v>2585</v>
      </c>
      <c r="Y2" s="2792" t="s">
        <v>2648</v>
      </c>
      <c r="Z2" s="2784" t="s">
        <v>1646</v>
      </c>
      <c r="AA2" s="2784" t="s">
        <v>1953</v>
      </c>
      <c r="AB2" s="2792" t="s">
        <v>2649</v>
      </c>
      <c r="AD2" s="2792" t="s">
        <v>2585</v>
      </c>
      <c r="AE2" s="2792" t="s">
        <v>2648</v>
      </c>
      <c r="AF2" s="2784" t="s">
        <v>1646</v>
      </c>
      <c r="AG2" s="2784" t="s">
        <v>1953</v>
      </c>
      <c r="AH2" s="2792" t="s">
        <v>2649</v>
      </c>
    </row>
    <row r="3" spans="1:34" s="2776" customFormat="1" ht="14.25">
      <c r="B3" s="2777"/>
      <c r="C3" s="2777"/>
      <c r="D3" s="2778"/>
      <c r="E3" s="2778"/>
      <c r="F3" s="2777"/>
      <c r="G3" s="2782"/>
      <c r="H3" s="2779"/>
      <c r="I3" s="3162"/>
      <c r="J3" s="3162"/>
      <c r="K3" s="3162"/>
      <c r="L3" s="3162"/>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2975</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80"/>
      <c r="S4" s="2782"/>
      <c r="T4" s="2780"/>
      <c r="U4" s="2780"/>
      <c r="V4" s="2780"/>
      <c r="X4" s="2781"/>
      <c r="Y4" s="2781"/>
      <c r="Z4" s="2781"/>
      <c r="AA4" s="2781"/>
      <c r="AB4" s="2781"/>
      <c r="AD4" s="2701"/>
      <c r="AE4" s="2701"/>
      <c r="AF4" s="2701"/>
      <c r="AG4" s="2701"/>
      <c r="AH4" s="2701"/>
    </row>
    <row r="5" spans="1:34" s="3145" customFormat="1">
      <c r="A5" s="3143" t="s">
        <v>2974</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37">
        <v>2017</v>
      </c>
      <c r="H5" s="3144">
        <v>4</v>
      </c>
      <c r="I5" s="3163">
        <f>ROUND(AVERAGE(I6:I20),2)</f>
        <v>2.4900000000000002</v>
      </c>
      <c r="J5" s="3163">
        <f>ROUND(AVERAGE(J6:J20),2)</f>
        <v>1.64</v>
      </c>
      <c r="K5" s="3163">
        <f>ROUND(AVERAGE(K6:K20),2)</f>
        <v>2.78</v>
      </c>
      <c r="L5" s="3163">
        <f>ROUND(AVERAGE(L6:L20),2)</f>
        <v>1.39</v>
      </c>
      <c r="N5" s="2789">
        <f t="shared" si="7"/>
        <v>2.4900000000000002E-2</v>
      </c>
      <c r="O5" s="2789">
        <f t="shared" ref="O5" si="15">J5/100</f>
        <v>1.6399999999999998E-2</v>
      </c>
      <c r="P5" s="2789">
        <f t="shared" ref="P5" si="16">K5/100</f>
        <v>2.7799999999999998E-2</v>
      </c>
      <c r="Q5" s="2789">
        <f t="shared" ref="Q5" si="17">L5/100</f>
        <v>1.3899999999999999E-2</v>
      </c>
      <c r="R5" s="3146"/>
      <c r="S5" s="3147"/>
      <c r="T5" s="3146"/>
      <c r="U5" s="3146"/>
      <c r="V5" s="3146"/>
      <c r="W5" s="2790" t="s">
        <v>2646</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2" t="s">
        <v>2586</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5"/>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6"/>
      <c r="S6" s="2685"/>
      <c r="T6" s="3159"/>
      <c r="U6" s="3159"/>
      <c r="V6" s="3159"/>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2587</v>
      </c>
      <c r="B7" s="2696">
        <f t="shared" si="18"/>
        <v>419.31181600000002</v>
      </c>
      <c r="C7" s="2696">
        <f t="shared" si="18"/>
        <v>313.95436800000004</v>
      </c>
      <c r="D7" s="2696">
        <f t="shared" si="3"/>
        <v>313.95436800000004</v>
      </c>
      <c r="E7" s="2696">
        <f t="shared" si="19"/>
        <v>596.63028431999999</v>
      </c>
      <c r="F7" s="2696">
        <f t="shared" si="19"/>
        <v>274.74220703999998</v>
      </c>
      <c r="G7" s="3435"/>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2588</v>
      </c>
      <c r="B8" s="2696">
        <f t="shared" si="18"/>
        <v>405.524</v>
      </c>
      <c r="C8" s="2696">
        <f t="shared" si="18"/>
        <v>307.79840000000002</v>
      </c>
      <c r="D8" s="2696">
        <f t="shared" si="3"/>
        <v>307.79840000000002</v>
      </c>
      <c r="E8" s="2696">
        <f t="shared" si="19"/>
        <v>574.67759999999998</v>
      </c>
      <c r="F8" s="2696">
        <f t="shared" si="19"/>
        <v>270.20280000000002</v>
      </c>
      <c r="G8" s="3436"/>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37">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5"/>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35"/>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36"/>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34">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5"/>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35"/>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36"/>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34">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5"/>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35"/>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36"/>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2647</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2589</v>
      </c>
      <c r="B21" s="2688">
        <v>299</v>
      </c>
      <c r="C21" s="2688">
        <v>252</v>
      </c>
      <c r="D21" s="2688">
        <f t="shared" si="28"/>
        <v>252</v>
      </c>
      <c r="E21" s="2688">
        <v>409</v>
      </c>
      <c r="F21" s="2689">
        <v>227</v>
      </c>
      <c r="G21" s="3441">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2590</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2"/>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2591</v>
      </c>
      <c r="B23" s="2696">
        <f t="shared" si="37"/>
        <v>288.2649053828776</v>
      </c>
      <c r="C23" s="2696">
        <f t="shared" si="37"/>
        <v>243.64564425013293</v>
      </c>
      <c r="D23" s="2696">
        <f t="shared" si="28"/>
        <v>243.64564425013293</v>
      </c>
      <c r="E23" s="2696">
        <f t="shared" si="38"/>
        <v>393.31080825986544</v>
      </c>
      <c r="F23" s="2696">
        <f t="shared" si="38"/>
        <v>223.07903790551154</v>
      </c>
      <c r="G23" s="3442"/>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2592</v>
      </c>
      <c r="B24" s="2696">
        <f t="shared" si="37"/>
        <v>282.50186729015837</v>
      </c>
      <c r="C24" s="2696">
        <f t="shared" si="37"/>
        <v>238.09796174155468</v>
      </c>
      <c r="D24" s="2696">
        <f t="shared" si="28"/>
        <v>238.09796174155468</v>
      </c>
      <c r="E24" s="2696">
        <f t="shared" si="38"/>
        <v>385.33438646014054</v>
      </c>
      <c r="F24" s="2696">
        <f t="shared" si="38"/>
        <v>221.55034055567739</v>
      </c>
      <c r="G24" s="3443"/>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2593</v>
      </c>
      <c r="B25" s="2726">
        <v>278</v>
      </c>
      <c r="C25" s="2726">
        <v>234</v>
      </c>
      <c r="D25" s="2726">
        <f t="shared" si="28"/>
        <v>234</v>
      </c>
      <c r="E25" s="2726">
        <v>379</v>
      </c>
      <c r="F25" s="2727">
        <v>220</v>
      </c>
      <c r="G25" s="3434">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2594</v>
      </c>
      <c r="B26" s="2696">
        <f>B25/(1+N25)</f>
        <v>275.49301357645425</v>
      </c>
      <c r="C26" s="2696">
        <f>C25/(1+O25)</f>
        <v>232.41954707985698</v>
      </c>
      <c r="D26" s="2696">
        <f t="shared" si="28"/>
        <v>232.41954707985698</v>
      </c>
      <c r="E26" s="2696">
        <f t="shared" ref="E26:F28" si="39">E25/(1+P25)</f>
        <v>375.32184591008121</v>
      </c>
      <c r="F26" s="2696">
        <f t="shared" si="39"/>
        <v>218.03766105054513</v>
      </c>
      <c r="G26" s="3435"/>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2595</v>
      </c>
      <c r="B27" s="2696">
        <f>B26/(1+N26)</f>
        <v>275.24529281292263</v>
      </c>
      <c r="C27" s="2696">
        <f>C26/(1+O26)</f>
        <v>231.74747938962707</v>
      </c>
      <c r="D27" s="2696">
        <f t="shared" si="28"/>
        <v>231.74747938962707</v>
      </c>
      <c r="E27" s="2696">
        <f t="shared" si="39"/>
        <v>375.35938184826603</v>
      </c>
      <c r="F27" s="2696">
        <f t="shared" si="39"/>
        <v>216.78033510692495</v>
      </c>
      <c r="G27" s="3435"/>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2596</v>
      </c>
      <c r="B28" s="2696">
        <f>B27/(1+N27)</f>
        <v>275.19025476197027</v>
      </c>
      <c r="C28" s="2728">
        <v>232</v>
      </c>
      <c r="D28" s="2728">
        <f t="shared" si="28"/>
        <v>232</v>
      </c>
      <c r="E28" s="2696">
        <f t="shared" si="39"/>
        <v>375.65990977608692</v>
      </c>
      <c r="F28" s="2696">
        <f t="shared" si="39"/>
        <v>214.12518283971252</v>
      </c>
      <c r="G28" s="3436"/>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2597</v>
      </c>
      <c r="B29" s="2688">
        <v>275</v>
      </c>
      <c r="C29" s="2688">
        <v>232</v>
      </c>
      <c r="D29" s="2688">
        <f t="shared" si="28"/>
        <v>232</v>
      </c>
      <c r="E29" s="2688">
        <v>376</v>
      </c>
      <c r="F29" s="2689">
        <v>213</v>
      </c>
      <c r="G29" s="3434">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2598</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5">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2599</v>
      </c>
      <c r="B31" s="2696">
        <f t="shared" si="40"/>
        <v>275.19335084830601</v>
      </c>
      <c r="C31" s="2696">
        <f t="shared" si="40"/>
        <v>230.18088050139744</v>
      </c>
      <c r="D31" s="2696">
        <f t="shared" si="28"/>
        <v>230.18088050139744</v>
      </c>
      <c r="E31" s="2696">
        <f t="shared" si="41"/>
        <v>377.58482925212331</v>
      </c>
      <c r="F31" s="2696">
        <f t="shared" si="41"/>
        <v>210.90687997847917</v>
      </c>
      <c r="G31" s="3435">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2600</v>
      </c>
      <c r="B32" s="2696">
        <f t="shared" si="40"/>
        <v>276.29854502841971</v>
      </c>
      <c r="C32" s="2696">
        <f t="shared" si="40"/>
        <v>229.79023709833027</v>
      </c>
      <c r="D32" s="2696">
        <f t="shared" si="28"/>
        <v>229.79023709833027</v>
      </c>
      <c r="E32" s="2696">
        <f t="shared" si="41"/>
        <v>379.78759731655936</v>
      </c>
      <c r="F32" s="2696">
        <f t="shared" si="41"/>
        <v>211.32953905659235</v>
      </c>
      <c r="G32" s="3436">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2601</v>
      </c>
      <c r="B33" s="2688">
        <v>269</v>
      </c>
      <c r="C33" s="2688">
        <v>221</v>
      </c>
      <c r="D33" s="2688">
        <f t="shared" si="28"/>
        <v>221</v>
      </c>
      <c r="E33" s="2688">
        <v>373</v>
      </c>
      <c r="F33" s="2689">
        <v>196</v>
      </c>
      <c r="G33" s="3434">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2602</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5">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2603</v>
      </c>
      <c r="B35" s="2696">
        <f t="shared" si="42"/>
        <v>242.95398227588385</v>
      </c>
      <c r="C35" s="2696">
        <f t="shared" si="42"/>
        <v>199.59137053614126</v>
      </c>
      <c r="D35" s="2696">
        <f t="shared" si="28"/>
        <v>199.59137053614126</v>
      </c>
      <c r="E35" s="2696">
        <f t="shared" si="43"/>
        <v>335.92189522342125</v>
      </c>
      <c r="F35" s="2696">
        <f t="shared" si="43"/>
        <v>183.10139991109489</v>
      </c>
      <c r="G35" s="3435">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2604</v>
      </c>
      <c r="B36" s="2696">
        <f t="shared" si="42"/>
        <v>232.06990378821649</v>
      </c>
      <c r="C36" s="2696">
        <f t="shared" si="42"/>
        <v>192.74878854286936</v>
      </c>
      <c r="D36" s="2696">
        <f t="shared" si="28"/>
        <v>192.74878854286936</v>
      </c>
      <c r="E36" s="2696">
        <f t="shared" si="43"/>
        <v>319.71247284992984</v>
      </c>
      <c r="F36" s="2696">
        <f t="shared" si="43"/>
        <v>175.67053622862409</v>
      </c>
      <c r="G36" s="3436">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2605</v>
      </c>
      <c r="B37" s="2688">
        <v>220</v>
      </c>
      <c r="C37" s="2688">
        <v>187</v>
      </c>
      <c r="D37" s="2688">
        <f t="shared" si="28"/>
        <v>187</v>
      </c>
      <c r="E37" s="2688">
        <v>301</v>
      </c>
      <c r="F37" s="2689">
        <v>168</v>
      </c>
      <c r="G37" s="3434">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2606</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5">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2607</v>
      </c>
      <c r="B39" s="2696">
        <f t="shared" si="44"/>
        <v>210.630522469011</v>
      </c>
      <c r="C39" s="2696">
        <f t="shared" si="44"/>
        <v>181.69567812247232</v>
      </c>
      <c r="D39" s="2696">
        <f t="shared" si="28"/>
        <v>181.69567812247232</v>
      </c>
      <c r="E39" s="2696">
        <f t="shared" si="45"/>
        <v>286.13517466736738</v>
      </c>
      <c r="F39" s="2696">
        <f t="shared" si="45"/>
        <v>165.47535084591149</v>
      </c>
      <c r="G39" s="3435">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2608</v>
      </c>
      <c r="B40" s="2696">
        <f t="shared" si="44"/>
        <v>208.83454537875372</v>
      </c>
      <c r="C40" s="2696">
        <f t="shared" si="44"/>
        <v>183.77230517090351</v>
      </c>
      <c r="D40" s="2696">
        <f t="shared" si="28"/>
        <v>183.77230517090351</v>
      </c>
      <c r="E40" s="2696">
        <f t="shared" si="45"/>
        <v>281.10342338870947</v>
      </c>
      <c r="F40" s="2696">
        <f t="shared" si="45"/>
        <v>168.97309388942256</v>
      </c>
      <c r="G40" s="3436">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2609</v>
      </c>
      <c r="B41" s="2726">
        <v>214</v>
      </c>
      <c r="C41" s="2726">
        <v>188</v>
      </c>
      <c r="D41" s="2726">
        <f t="shared" si="28"/>
        <v>188</v>
      </c>
      <c r="E41" s="2726">
        <v>289</v>
      </c>
      <c r="F41" s="2727">
        <v>166</v>
      </c>
      <c r="G41" s="3434">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2610</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5">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2611</v>
      </c>
      <c r="B43" s="2696">
        <f t="shared" si="46"/>
        <v>206.31694671589116</v>
      </c>
      <c r="C43" s="2696">
        <f t="shared" si="46"/>
        <v>183.61041121036101</v>
      </c>
      <c r="D43" s="2696">
        <f t="shared" si="28"/>
        <v>183.61041121036101</v>
      </c>
      <c r="E43" s="2696">
        <f t="shared" si="47"/>
        <v>276.66850301795557</v>
      </c>
      <c r="F43" s="2696">
        <f t="shared" si="47"/>
        <v>165.1360938278614</v>
      </c>
      <c r="G43" s="3435">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2612</v>
      </c>
      <c r="B44" s="2729">
        <f t="shared" si="46"/>
        <v>196.62341248059772</v>
      </c>
      <c r="C44" s="2729">
        <f t="shared" si="46"/>
        <v>170.99125648199012</v>
      </c>
      <c r="D44" s="2729">
        <f t="shared" si="28"/>
        <v>170.99125648199012</v>
      </c>
      <c r="E44" s="2729">
        <f t="shared" si="47"/>
        <v>266.07857570490052</v>
      </c>
      <c r="F44" s="2729">
        <f t="shared" si="47"/>
        <v>154.53499328828505</v>
      </c>
      <c r="G44" s="3436">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2613</v>
      </c>
      <c r="B45" s="2688">
        <v>188</v>
      </c>
      <c r="C45" s="2688">
        <v>165</v>
      </c>
      <c r="D45" s="2688">
        <f t="shared" si="28"/>
        <v>165</v>
      </c>
      <c r="E45" s="2688">
        <v>254</v>
      </c>
      <c r="F45" s="2689">
        <v>148</v>
      </c>
      <c r="G45" s="3434">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2614</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5">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2615</v>
      </c>
      <c r="B47" s="2696">
        <f t="shared" si="50"/>
        <v>168.82017748715555</v>
      </c>
      <c r="C47" s="2696">
        <f t="shared" si="50"/>
        <v>148.06267029972753</v>
      </c>
      <c r="D47" s="2696">
        <f t="shared" si="28"/>
        <v>148.06267029972753</v>
      </c>
      <c r="E47" s="2696">
        <f t="shared" si="51"/>
        <v>216.46288379323747</v>
      </c>
      <c r="F47" s="2696">
        <f t="shared" si="51"/>
        <v>134.23529411764704</v>
      </c>
      <c r="G47" s="3435">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2616</v>
      </c>
      <c r="B48" s="2696">
        <f t="shared" si="50"/>
        <v>163.84913591779542</v>
      </c>
      <c r="C48" s="2696">
        <f t="shared" si="50"/>
        <v>145.0283378746594</v>
      </c>
      <c r="D48" s="2696">
        <f t="shared" si="28"/>
        <v>145.0283378746594</v>
      </c>
      <c r="E48" s="2696">
        <f t="shared" si="51"/>
        <v>204.95180722891567</v>
      </c>
      <c r="F48" s="2696">
        <f t="shared" si="51"/>
        <v>125.95920303605313</v>
      </c>
      <c r="G48" s="3436">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2617</v>
      </c>
      <c r="B49" s="2710">
        <v>159</v>
      </c>
      <c r="C49" s="2710">
        <v>141</v>
      </c>
      <c r="D49" s="2710">
        <f t="shared" si="28"/>
        <v>141</v>
      </c>
      <c r="E49" s="2710">
        <v>195</v>
      </c>
      <c r="F49" s="2711">
        <v>122</v>
      </c>
      <c r="G49" s="3434">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2618</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5">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2619</v>
      </c>
      <c r="B51" s="2696">
        <f t="shared" si="54"/>
        <v>146.57412060301507</v>
      </c>
      <c r="C51" s="2696">
        <f t="shared" si="54"/>
        <v>136.46831955922866</v>
      </c>
      <c r="D51" s="2696">
        <f t="shared" si="28"/>
        <v>136.46831955922866</v>
      </c>
      <c r="E51" s="2696">
        <f t="shared" si="55"/>
        <v>166.73864894795128</v>
      </c>
      <c r="F51" s="2696">
        <f t="shared" si="55"/>
        <v>115.05882352941177</v>
      </c>
      <c r="G51" s="3435">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2620</v>
      </c>
      <c r="B52" s="2696">
        <f t="shared" si="54"/>
        <v>144.04145728643215</v>
      </c>
      <c r="C52" s="2696">
        <f t="shared" si="54"/>
        <v>136.12396694214877</v>
      </c>
      <c r="D52" s="2696">
        <f t="shared" si="28"/>
        <v>136.12396694214877</v>
      </c>
      <c r="E52" s="2696">
        <f t="shared" si="55"/>
        <v>158.32225913621264</v>
      </c>
      <c r="F52" s="2696">
        <f t="shared" si="55"/>
        <v>114.04278074866311</v>
      </c>
      <c r="G52" s="3436">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2621</v>
      </c>
      <c r="B53" s="2710">
        <v>138</v>
      </c>
      <c r="C53" s="2710">
        <v>131</v>
      </c>
      <c r="D53" s="2710">
        <f t="shared" si="28"/>
        <v>131</v>
      </c>
      <c r="E53" s="2710">
        <v>155</v>
      </c>
      <c r="F53" s="2711">
        <v>114</v>
      </c>
      <c r="G53" s="3434">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2622</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5">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2623</v>
      </c>
      <c r="B55" s="2696">
        <f t="shared" si="58"/>
        <v>124.29032258064517</v>
      </c>
      <c r="C55" s="2696">
        <f t="shared" si="58"/>
        <v>123.8968609865471</v>
      </c>
      <c r="D55" s="2696">
        <f t="shared" si="28"/>
        <v>123.8968609865471</v>
      </c>
      <c r="E55" s="2696">
        <f t="shared" si="59"/>
        <v>138.00507614213197</v>
      </c>
      <c r="F55" s="2696">
        <f t="shared" si="59"/>
        <v>107.96106557377048</v>
      </c>
      <c r="G55" s="3435">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2624</v>
      </c>
      <c r="B56" s="2696">
        <f t="shared" si="58"/>
        <v>122.57204301075269</v>
      </c>
      <c r="C56" s="2696">
        <f t="shared" si="58"/>
        <v>123.4932735426009</v>
      </c>
      <c r="D56" s="2696">
        <f t="shared" si="28"/>
        <v>123.4932735426009</v>
      </c>
      <c r="E56" s="2696">
        <f t="shared" si="59"/>
        <v>129.82233502538071</v>
      </c>
      <c r="F56" s="2696">
        <f t="shared" si="59"/>
        <v>107.39446721311475</v>
      </c>
      <c r="G56" s="3436">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2625</v>
      </c>
      <c r="B57" s="2726">
        <v>121</v>
      </c>
      <c r="C57" s="2726">
        <v>122</v>
      </c>
      <c r="D57" s="2726">
        <f t="shared" si="28"/>
        <v>122</v>
      </c>
      <c r="E57" s="2726">
        <v>124</v>
      </c>
      <c r="F57" s="2727">
        <v>107</v>
      </c>
      <c r="G57" s="3434">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2626</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5">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2627</v>
      </c>
      <c r="B59" s="2696">
        <f t="shared" si="62"/>
        <v>116.99099099099099</v>
      </c>
      <c r="C59" s="2696">
        <f t="shared" si="62"/>
        <v>118.84848484848486</v>
      </c>
      <c r="D59" s="2696">
        <f t="shared" si="28"/>
        <v>118.84848484848486</v>
      </c>
      <c r="E59" s="2696">
        <f t="shared" si="63"/>
        <v>117.60960960960961</v>
      </c>
      <c r="F59" s="2696">
        <f t="shared" si="63"/>
        <v>104</v>
      </c>
      <c r="G59" s="3435">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2628</v>
      </c>
      <c r="B60" s="2729">
        <f t="shared" si="62"/>
        <v>112.48648648648648</v>
      </c>
      <c r="C60" s="2729">
        <f t="shared" si="62"/>
        <v>115.21212121212122</v>
      </c>
      <c r="D60" s="2729">
        <f t="shared" si="28"/>
        <v>115.21212121212122</v>
      </c>
      <c r="E60" s="2729">
        <f t="shared" si="63"/>
        <v>110.4024024024024</v>
      </c>
      <c r="F60" s="2729">
        <f t="shared" si="63"/>
        <v>104</v>
      </c>
      <c r="G60" s="3436">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2629</v>
      </c>
      <c r="B61" s="2747">
        <v>111</v>
      </c>
      <c r="C61" s="2747">
        <v>114</v>
      </c>
      <c r="D61" s="2747">
        <f t="shared" si="28"/>
        <v>114</v>
      </c>
      <c r="E61" s="2747">
        <v>108</v>
      </c>
      <c r="F61" s="2748">
        <v>104</v>
      </c>
      <c r="G61" s="3434">
        <v>2003</v>
      </c>
      <c r="H61" s="2737">
        <v>4</v>
      </c>
      <c r="I61" s="2749"/>
      <c r="J61" s="2749"/>
      <c r="K61" s="2749"/>
      <c r="L61" s="2749"/>
      <c r="N61" s="2750"/>
      <c r="O61" s="2749"/>
      <c r="P61" s="2749"/>
      <c r="Q61" s="2749"/>
      <c r="S61" s="2750"/>
      <c r="T61" s="2749"/>
      <c r="U61" s="2749"/>
      <c r="V61" s="2749"/>
      <c r="X61" s="2741"/>
      <c r="Y61" s="2741"/>
      <c r="Z61" s="2741"/>
    </row>
    <row r="62" spans="1:26">
      <c r="A62" s="2682" t="s">
        <v>2630</v>
      </c>
      <c r="B62" s="2751">
        <f t="shared" ref="B62:C64" si="64">B63+(B$61-B$65)/4</f>
        <v>109.75</v>
      </c>
      <c r="C62" s="2751">
        <f t="shared" si="64"/>
        <v>112.25</v>
      </c>
      <c r="D62" s="2751">
        <f t="shared" si="28"/>
        <v>112.25</v>
      </c>
      <c r="E62" s="2751">
        <f t="shared" ref="E62:F64" si="65">E63+(E$61-E$65)/4</f>
        <v>107.25</v>
      </c>
      <c r="F62" s="2751">
        <f t="shared" si="65"/>
        <v>103.5</v>
      </c>
      <c r="G62" s="3435">
        <v>2003</v>
      </c>
      <c r="H62" s="2707">
        <v>3</v>
      </c>
      <c r="I62" s="2749"/>
      <c r="J62" s="2749"/>
      <c r="K62" s="2749"/>
      <c r="L62" s="2749"/>
      <c r="X62" s="2741"/>
      <c r="Y62" s="2741"/>
      <c r="Z62" s="2741"/>
    </row>
    <row r="63" spans="1:26">
      <c r="A63" s="2682" t="s">
        <v>2631</v>
      </c>
      <c r="B63" s="2751">
        <f t="shared" si="64"/>
        <v>108.5</v>
      </c>
      <c r="C63" s="2751">
        <f t="shared" si="64"/>
        <v>110.5</v>
      </c>
      <c r="D63" s="2751">
        <f t="shared" si="28"/>
        <v>110.5</v>
      </c>
      <c r="E63" s="2751">
        <f t="shared" si="65"/>
        <v>106.5</v>
      </c>
      <c r="F63" s="2751">
        <f t="shared" si="65"/>
        <v>103</v>
      </c>
      <c r="G63" s="3435">
        <v>2003</v>
      </c>
      <c r="H63" s="2687">
        <v>2</v>
      </c>
      <c r="I63" s="2749"/>
      <c r="J63" s="2749"/>
      <c r="K63" s="2749"/>
      <c r="L63" s="2749"/>
      <c r="X63" s="2741"/>
      <c r="Y63" s="2741"/>
      <c r="Z63" s="2741"/>
    </row>
    <row r="64" spans="1:26" ht="13.5" thickBot="1">
      <c r="A64" s="2682" t="s">
        <v>2632</v>
      </c>
      <c r="B64" s="2751">
        <f t="shared" si="64"/>
        <v>107.25</v>
      </c>
      <c r="C64" s="2751">
        <f t="shared" si="64"/>
        <v>108.75</v>
      </c>
      <c r="D64" s="2751">
        <f t="shared" si="28"/>
        <v>108.75</v>
      </c>
      <c r="E64" s="2751">
        <f t="shared" si="65"/>
        <v>105.75</v>
      </c>
      <c r="F64" s="2751">
        <f t="shared" si="65"/>
        <v>102.5</v>
      </c>
      <c r="G64" s="3436">
        <v>2003</v>
      </c>
      <c r="H64" s="2752">
        <v>1</v>
      </c>
      <c r="I64" s="2749"/>
      <c r="J64" s="2749"/>
      <c r="K64" s="2749"/>
      <c r="L64" s="2749"/>
      <c r="S64" s="2691"/>
      <c r="T64" s="2692"/>
      <c r="U64" s="2692"/>
      <c r="X64" s="2741"/>
      <c r="Y64" s="2741"/>
      <c r="Z64" s="2741"/>
    </row>
    <row r="65" spans="1:26" ht="13.5" thickBot="1">
      <c r="A65" s="2682" t="s">
        <v>2633</v>
      </c>
      <c r="B65" s="2753">
        <v>106</v>
      </c>
      <c r="C65" s="2753">
        <v>107</v>
      </c>
      <c r="D65" s="2753">
        <f t="shared" si="28"/>
        <v>107</v>
      </c>
      <c r="E65" s="2753">
        <v>105</v>
      </c>
      <c r="F65" s="2754">
        <v>102</v>
      </c>
      <c r="G65" s="3434">
        <v>2002</v>
      </c>
      <c r="H65" s="2702">
        <v>4</v>
      </c>
      <c r="I65" s="2749"/>
      <c r="J65" s="2749"/>
      <c r="K65" s="2749"/>
      <c r="L65" s="2749"/>
      <c r="N65" s="2750"/>
      <c r="O65" s="2749"/>
      <c r="P65" s="2749"/>
      <c r="Q65" s="2749"/>
      <c r="S65" s="2750"/>
      <c r="T65" s="2749"/>
      <c r="U65" s="2749"/>
      <c r="V65" s="2749"/>
      <c r="X65" s="2741"/>
      <c r="Y65" s="2741"/>
      <c r="Z65" s="2741"/>
    </row>
    <row r="66" spans="1:26">
      <c r="A66" s="2682" t="s">
        <v>2634</v>
      </c>
      <c r="B66" s="2751">
        <f t="shared" ref="B66:C68" si="66">B67+(B$65-B$69)/4</f>
        <v>105</v>
      </c>
      <c r="C66" s="2751">
        <f t="shared" si="66"/>
        <v>106</v>
      </c>
      <c r="D66" s="2751">
        <f t="shared" si="28"/>
        <v>106</v>
      </c>
      <c r="E66" s="2751">
        <f t="shared" ref="E66:F68" si="67">E67+(E$65-E$69)/4</f>
        <v>104.5</v>
      </c>
      <c r="F66" s="2751">
        <f t="shared" si="67"/>
        <v>101.5</v>
      </c>
      <c r="G66" s="3435">
        <v>2002</v>
      </c>
      <c r="H66" s="2707">
        <v>3</v>
      </c>
      <c r="I66" s="2749"/>
      <c r="J66" s="2749"/>
      <c r="K66" s="2749"/>
      <c r="L66" s="2749"/>
      <c r="X66" s="2741"/>
      <c r="Y66" s="2741"/>
      <c r="Z66" s="2741"/>
    </row>
    <row r="67" spans="1:26">
      <c r="A67" s="2682" t="s">
        <v>2635</v>
      </c>
      <c r="B67" s="2751">
        <f t="shared" si="66"/>
        <v>104</v>
      </c>
      <c r="C67" s="2751">
        <f t="shared" si="66"/>
        <v>105</v>
      </c>
      <c r="D67" s="2751">
        <f t="shared" si="28"/>
        <v>105</v>
      </c>
      <c r="E67" s="2751">
        <f t="shared" si="67"/>
        <v>104</v>
      </c>
      <c r="F67" s="2751">
        <f t="shared" si="67"/>
        <v>101</v>
      </c>
      <c r="G67" s="3435">
        <v>2002</v>
      </c>
      <c r="H67" s="2687">
        <v>2</v>
      </c>
      <c r="I67" s="2749"/>
      <c r="J67" s="2749"/>
      <c r="K67" s="2749"/>
      <c r="L67" s="2749"/>
      <c r="X67" s="2741"/>
      <c r="Y67" s="2741"/>
      <c r="Z67" s="2741"/>
    </row>
    <row r="68" spans="1:26" s="2718" customFormat="1" ht="13.5" thickBot="1">
      <c r="A68" s="2714" t="s">
        <v>2636</v>
      </c>
      <c r="B68" s="2755">
        <f t="shared" si="66"/>
        <v>103</v>
      </c>
      <c r="C68" s="2755">
        <f t="shared" si="66"/>
        <v>104</v>
      </c>
      <c r="D68" s="2755">
        <f t="shared" si="28"/>
        <v>104</v>
      </c>
      <c r="E68" s="2755">
        <f t="shared" si="67"/>
        <v>103.5</v>
      </c>
      <c r="F68" s="2755">
        <f t="shared" si="67"/>
        <v>100.5</v>
      </c>
      <c r="G68" s="3436">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2637</v>
      </c>
      <c r="G71" s="2765"/>
      <c r="N71" s="2765"/>
      <c r="S71" s="2765"/>
    </row>
    <row r="72" spans="1:26" s="2764" customFormat="1">
      <c r="A72" s="2764" t="s">
        <v>2638</v>
      </c>
      <c r="G72" s="2765"/>
      <c r="N72" s="2765"/>
      <c r="S72" s="2765"/>
    </row>
    <row r="73" spans="1:26" s="2764" customFormat="1">
      <c r="A73" s="2764" t="s">
        <v>2639</v>
      </c>
      <c r="G73" s="2765"/>
      <c r="I73" s="2766"/>
      <c r="J73" s="2766"/>
      <c r="K73" s="2766"/>
      <c r="L73" s="2766"/>
      <c r="N73" s="2767"/>
      <c r="O73" s="2766"/>
      <c r="P73" s="2766"/>
      <c r="Q73" s="2766"/>
      <c r="S73" s="2767"/>
      <c r="T73" s="2766"/>
      <c r="U73" s="2766"/>
      <c r="V73" s="2766"/>
    </row>
    <row r="74" spans="1:26" s="2764" customFormat="1">
      <c r="A74" s="2764" t="s">
        <v>2640</v>
      </c>
      <c r="G74" s="2765"/>
      <c r="N74" s="2765"/>
      <c r="S74" s="2765"/>
    </row>
    <row r="81" spans="7:22" ht="13.5" thickBot="1"/>
    <row r="82" spans="7:22">
      <c r="G82" s="2690"/>
      <c r="S82" s="2768" t="s">
        <v>2641</v>
      </c>
      <c r="T82" s="2769" t="s">
        <v>2642</v>
      </c>
      <c r="U82" s="2769" t="s">
        <v>2643</v>
      </c>
      <c r="V82" s="2769" t="s">
        <v>2644</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 sqref="I3:L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7"/>
      <c r="E1" s="2413" t="s">
        <v>2377</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0</v>
      </c>
      <c r="D5" s="2522" t="s">
        <v>2465</v>
      </c>
      <c r="E5" s="2516"/>
      <c r="F5" s="2517"/>
      <c r="G5" s="1593"/>
      <c r="H5" s="781">
        <v>1</v>
      </c>
      <c r="I5" s="782" t="s">
        <v>2462</v>
      </c>
      <c r="J5" s="55">
        <f ca="1">J6+J10+J12</f>
        <v>0</v>
      </c>
      <c r="K5" s="2522" t="s">
        <v>2465</v>
      </c>
      <c r="L5" s="2516"/>
      <c r="M5" s="2517"/>
    </row>
    <row r="6" spans="1:33" ht="18" customHeight="1">
      <c r="A6" s="1832" t="s">
        <v>1826</v>
      </c>
      <c r="B6" s="3428" t="s">
        <v>2467</v>
      </c>
      <c r="C6" s="783">
        <f ca="1">ROUND(F6*F8*F7*(1-F9)/10000,0)</f>
        <v>0</v>
      </c>
      <c r="D6" s="2523" t="s">
        <v>2466</v>
      </c>
      <c r="E6" s="784" t="s">
        <v>1740</v>
      </c>
      <c r="F6" s="785">
        <f ca="1">INDIRECT("'数据-取费表'!u"&amp;$G$1)</f>
        <v>0</v>
      </c>
      <c r="G6" s="1593"/>
      <c r="H6" s="2530" t="s">
        <v>2473</v>
      </c>
      <c r="I6" s="3428" t="s">
        <v>2467</v>
      </c>
      <c r="J6" s="783">
        <f ca="1">ROUND(M6*M8*M7*(1-M9)/10000,0)</f>
        <v>0</v>
      </c>
      <c r="K6" s="341" t="s">
        <v>1739</v>
      </c>
      <c r="L6" s="784" t="s">
        <v>1740</v>
      </c>
      <c r="M6" s="785">
        <f ca="1">INDIRECT("'数据-取费表'!z"&amp;$G$1)</f>
        <v>0</v>
      </c>
    </row>
    <row r="7" spans="1:33" ht="18" customHeight="1">
      <c r="A7" s="2526"/>
      <c r="B7" s="3429"/>
      <c r="C7" s="788"/>
      <c r="D7" s="789"/>
      <c r="E7" s="784" t="s">
        <v>1741</v>
      </c>
      <c r="F7" s="785">
        <f ca="1">IF(INDIRECT("'数据-取费表'!ah"&amp;$G$1)="",INDIRECT("'数据-取费表'!k"&amp;$G$1),INDIRECT("'数据-取费表'!ah"&amp;$G$1))</f>
        <v>0</v>
      </c>
      <c r="G7" s="1593"/>
      <c r="H7" s="2515"/>
      <c r="I7" s="3429"/>
      <c r="J7" s="788"/>
      <c r="K7" s="789"/>
      <c r="L7" s="784" t="s">
        <v>1741</v>
      </c>
      <c r="M7" s="785">
        <f ca="1">F7</f>
        <v>0</v>
      </c>
    </row>
    <row r="8" spans="1:33" ht="18" customHeight="1">
      <c r="A8" s="2519"/>
      <c r="B8" s="3430"/>
      <c r="C8" s="788"/>
      <c r="D8" s="789"/>
      <c r="E8" s="784" t="s">
        <v>1742</v>
      </c>
      <c r="F8" s="785">
        <f ca="1">INDIRECT("'数据-取费表'!ai"&amp;$G$1)</f>
        <v>0</v>
      </c>
      <c r="G8" s="1593"/>
      <c r="H8" s="2515"/>
      <c r="I8" s="3430"/>
      <c r="J8" s="788"/>
      <c r="K8" s="789"/>
      <c r="L8" s="784" t="s">
        <v>1742</v>
      </c>
      <c r="M8" s="785">
        <f ca="1">INDIRECT("'数据-取费表'!ai"&amp;$G$1)</f>
        <v>0</v>
      </c>
    </row>
    <row r="9" spans="1:33" ht="18" customHeight="1">
      <c r="A9" s="786"/>
      <c r="B9" s="3431"/>
      <c r="C9" s="788"/>
      <c r="D9" s="789"/>
      <c r="E9" s="784" t="s">
        <v>1743</v>
      </c>
      <c r="F9" s="794">
        <f ca="1">INDIRECT("'数据-取费表'!w"&amp;$G$1)</f>
        <v>0</v>
      </c>
      <c r="G9" s="1593"/>
      <c r="H9" s="2531"/>
      <c r="I9" s="3430"/>
      <c r="J9" s="788"/>
      <c r="K9" s="789"/>
      <c r="L9" s="795" t="s">
        <v>1743</v>
      </c>
      <c r="M9" s="796">
        <f ca="1">INDIRECT("'数据-取费表'!ab"&amp;$G$1)</f>
        <v>0</v>
      </c>
    </row>
    <row r="10" spans="1:33" ht="18" customHeight="1">
      <c r="A10" s="1832" t="s">
        <v>2471</v>
      </c>
      <c r="B10" s="2520" t="s">
        <v>2463</v>
      </c>
      <c r="C10" s="799">
        <f ca="1">ROUND(IF(F10="押一",F6*F8*F7/12*F11,IF(F10="押二",F6*F8*F7/12*2*F11,IF(F10="押三",F6*F8*F7/12*3*F11,C11*F11)))/10000,0)</f>
        <v>0</v>
      </c>
      <c r="D10" s="2527" t="s">
        <v>2470</v>
      </c>
      <c r="E10" s="2524" t="s">
        <v>2468</v>
      </c>
      <c r="F10" s="2647"/>
      <c r="G10" s="1593"/>
      <c r="H10" s="2587" t="s">
        <v>2474</v>
      </c>
      <c r="I10" s="2592" t="s">
        <v>2463</v>
      </c>
      <c r="J10" s="783">
        <f ca="1">ROUND(IF(M10="押一",M6*M8*M7/12*M11,IF(M10="押二",M6*M8*M7/12*2*M11,IF(M10="押三",M6*M8*M7/12*3*M11,J11*M11)))/10000,0)</f>
        <v>0</v>
      </c>
      <c r="K10" s="2527" t="s">
        <v>2470</v>
      </c>
      <c r="L10" s="2524" t="s">
        <v>2468</v>
      </c>
      <c r="M10" s="2647"/>
    </row>
    <row r="11" spans="1:33" ht="18" customHeight="1">
      <c r="A11" s="790"/>
      <c r="B11" s="2521" t="s">
        <v>2578</v>
      </c>
      <c r="C11" s="2525"/>
      <c r="D11" s="789"/>
      <c r="E11" s="2524" t="s">
        <v>2469</v>
      </c>
      <c r="F11" s="796">
        <f ca="1">'数据-取费表'!B39</f>
        <v>1.4999999999999999E-2</v>
      </c>
      <c r="G11" s="1593"/>
      <c r="H11" s="2588"/>
      <c r="I11" s="2521" t="s">
        <v>2578</v>
      </c>
      <c r="J11" s="2525"/>
      <c r="K11" s="2589"/>
      <c r="L11" s="2524" t="s">
        <v>2469</v>
      </c>
      <c r="M11" s="2518">
        <f ca="1">'数据-取费表'!B39</f>
        <v>1.4999999999999999E-2</v>
      </c>
    </row>
    <row r="12" spans="1:33" ht="18" customHeight="1" thickBot="1">
      <c r="A12" s="2563" t="s">
        <v>2472</v>
      </c>
      <c r="B12" s="2564" t="s">
        <v>2464</v>
      </c>
      <c r="C12" s="2565"/>
      <c r="D12" s="2566"/>
      <c r="E12" s="2567"/>
      <c r="F12" s="2568"/>
      <c r="G12" s="1593"/>
      <c r="H12" s="2577" t="s">
        <v>2475</v>
      </c>
      <c r="I12" s="2590" t="s">
        <v>2464</v>
      </c>
      <c r="J12" s="2591"/>
      <c r="K12" s="2566"/>
      <c r="L12" s="2567"/>
      <c r="M12" s="2580"/>
    </row>
    <row r="13" spans="1:33" ht="18" customHeight="1" thickTop="1">
      <c r="A13" s="1831">
        <v>2</v>
      </c>
      <c r="B13" s="1829" t="s">
        <v>1744</v>
      </c>
      <c r="C13" s="792">
        <f ca="1">ROUND(C29*F13,0)</f>
        <v>0</v>
      </c>
      <c r="D13" s="1836" t="s">
        <v>2300</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2832</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0.05</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0.03</v>
      </c>
      <c r="G20" s="1594"/>
      <c r="H20" s="1652" t="s">
        <v>1882</v>
      </c>
      <c r="I20" s="341" t="s">
        <v>1762</v>
      </c>
      <c r="J20" s="54">
        <f ca="1">ROUND(M20*M21/10000,0)</f>
        <v>0</v>
      </c>
      <c r="K20" s="814" t="s">
        <v>1763</v>
      </c>
      <c r="L20" s="784" t="s">
        <v>1764</v>
      </c>
      <c r="M20" s="640">
        <f>'数据-取费表'!B52</f>
        <v>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2301</v>
      </c>
      <c r="E21" s="784" t="s">
        <v>1767</v>
      </c>
      <c r="F21" s="809">
        <f>'数据-取费表'!B38</f>
        <v>0.03</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2540</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2.2000000000000001E-3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8" t="s">
        <v>2828</v>
      </c>
      <c r="J25" s="792">
        <f ca="1">J5-J16</f>
        <v>0</v>
      </c>
      <c r="K25" s="2574" t="s">
        <v>1779</v>
      </c>
      <c r="L25" s="2575"/>
      <c r="M25" s="2576"/>
    </row>
    <row r="26" spans="1:33" ht="18" customHeight="1">
      <c r="A26" s="1649" t="s">
        <v>1833</v>
      </c>
      <c r="B26" s="784" t="s">
        <v>2441</v>
      </c>
      <c r="C26" s="53">
        <f ca="1">ROUND((C19+C20)*F26,0)</f>
        <v>0</v>
      </c>
      <c r="D26" s="812" t="s">
        <v>1780</v>
      </c>
      <c r="E26" s="795" t="s">
        <v>1781</v>
      </c>
      <c r="F26" s="794">
        <f ca="1">INDIRECT("'数据-取费表'!q"&amp;$G$1)</f>
        <v>0</v>
      </c>
      <c r="G26" s="1593"/>
      <c r="H26" s="2528" t="s">
        <v>1782</v>
      </c>
      <c r="I26" s="2234" t="s">
        <v>2833</v>
      </c>
      <c r="J26" s="783">
        <f ca="1">IF(J5&lt;&gt;0,ROUND(J25*(1-((1+M28)/(1+M26))^M27)/(M26-M28),0),0)</f>
        <v>0</v>
      </c>
      <c r="K26" s="814" t="s">
        <v>1783</v>
      </c>
      <c r="L26" s="784" t="s">
        <v>2422</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2302</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5</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8" t="s">
        <v>2828</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2304</v>
      </c>
      <c r="C40" s="783" t="e">
        <f ca="1">ROUND(C39*(1-((1+F42)/(1+F40))^F41)/(F40-F42),0)</f>
        <v>#DIV/0!</v>
      </c>
      <c r="D40" s="814" t="s">
        <v>1809</v>
      </c>
      <c r="E40" s="784" t="s">
        <v>2422</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2971</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t="e">
        <f ca="1">C67-C40</f>
        <v>#DIV/0!</v>
      </c>
      <c r="D46" s="2087"/>
      <c r="E46" s="2087"/>
      <c r="F46" s="2087"/>
      <c r="I46" s="2380" t="s">
        <v>2345</v>
      </c>
      <c r="J46" s="2381"/>
      <c r="K46" s="2382"/>
      <c r="L46" s="2383" t="str">
        <f ca="1">IF(M47="住宅",0,IF(L48&gt;J51,L60,J60))</f>
        <v>0</v>
      </c>
      <c r="O46" s="2420" t="s">
        <v>2413</v>
      </c>
      <c r="P46" s="1593"/>
      <c r="Q46" s="1605"/>
      <c r="R46" s="1593"/>
    </row>
    <row r="47" spans="1:18" s="2061" customFormat="1" ht="18" customHeight="1" thickBot="1">
      <c r="A47" s="2374">
        <v>1</v>
      </c>
      <c r="B47" s="2375" t="s">
        <v>636</v>
      </c>
      <c r="C47" s="2600">
        <f ca="1">C48+C52+C54</f>
        <v>0</v>
      </c>
      <c r="D47" s="2087"/>
      <c r="E47" s="2087"/>
      <c r="F47" s="2087"/>
      <c r="I47" s="2384" t="s">
        <v>2346</v>
      </c>
      <c r="J47" s="2389"/>
      <c r="K47" s="2390" t="s">
        <v>2352</v>
      </c>
      <c r="L47" s="2391">
        <f ca="1">INDIRECT("'数据-取费表'!d"&amp;$G$1)</f>
        <v>0</v>
      </c>
      <c r="M47" s="1605" t="str">
        <f>IF(ISNUMBER(FIND("住宅",C1)),"住宅","非住宅")</f>
        <v>非住宅</v>
      </c>
      <c r="O47" s="2421" t="s">
        <v>2378</v>
      </c>
      <c r="P47" s="2422" t="s">
        <v>2379</v>
      </c>
      <c r="Q47" s="2423" t="s">
        <v>2380</v>
      </c>
      <c r="R47" s="2422" t="s">
        <v>2381</v>
      </c>
    </row>
    <row r="48" spans="1:18" s="2061" customFormat="1" ht="18" customHeight="1" thickBot="1">
      <c r="A48" s="2669" t="s">
        <v>2542</v>
      </c>
      <c r="B48" s="2670" t="s">
        <v>2543</v>
      </c>
      <c r="C48" s="2376">
        <f ca="1">ROUND(F48*F50*F49*(1-F51)/10000,0)</f>
        <v>0</v>
      </c>
      <c r="D48" s="2377" t="s">
        <v>637</v>
      </c>
      <c r="E48" s="2378" t="s">
        <v>2299</v>
      </c>
      <c r="F48" s="2379"/>
      <c r="G48" s="2092"/>
      <c r="I48" s="2385" t="s">
        <v>2347</v>
      </c>
      <c r="J48" s="2392"/>
      <c r="K48" s="2393" t="s">
        <v>2354</v>
      </c>
      <c r="L48" s="2394">
        <f ca="1">INDIRECT("'数据-取费表'!f"&amp;$G$1)</f>
        <v>0</v>
      </c>
      <c r="O48" s="2424" t="s">
        <v>2382</v>
      </c>
      <c r="P48" s="2425" t="s">
        <v>2408</v>
      </c>
      <c r="Q48" s="2426" t="e">
        <f ca="1">C40+J29</f>
        <v>#DIV/0!</v>
      </c>
      <c r="R48" s="2425" t="s">
        <v>2383</v>
      </c>
    </row>
    <row r="49" spans="1:18" s="2061" customFormat="1" ht="18" customHeight="1" thickBot="1">
      <c r="A49" s="786"/>
      <c r="B49" s="787"/>
      <c r="C49" s="788"/>
      <c r="D49" s="789"/>
      <c r="E49" s="784" t="s">
        <v>1741</v>
      </c>
      <c r="F49" s="785">
        <f ca="1">F7</f>
        <v>0</v>
      </c>
      <c r="G49" s="2092"/>
      <c r="H49" s="2095"/>
      <c r="I49" s="2385" t="s">
        <v>2348</v>
      </c>
      <c r="J49" s="2395"/>
      <c r="K49" s="2396" t="s">
        <v>2355</v>
      </c>
      <c r="L49" s="2397"/>
      <c r="O49" s="2424" t="s">
        <v>2384</v>
      </c>
      <c r="P49" s="2425" t="s">
        <v>2409</v>
      </c>
      <c r="Q49" s="2426" t="str">
        <f ca="1">J60</f>
        <v>0</v>
      </c>
      <c r="R49" s="2425" t="s">
        <v>2385</v>
      </c>
    </row>
    <row r="50" spans="1:18" s="2061" customFormat="1" ht="18" customHeight="1" thickBot="1">
      <c r="A50" s="786"/>
      <c r="B50" s="787"/>
      <c r="C50" s="788"/>
      <c r="D50" s="789"/>
      <c r="E50" s="784" t="s">
        <v>1742</v>
      </c>
      <c r="F50" s="785">
        <f ca="1">F8</f>
        <v>0</v>
      </c>
      <c r="G50" s="2097"/>
      <c r="H50" s="2095"/>
      <c r="I50" s="2385" t="s">
        <v>2349</v>
      </c>
      <c r="J50" s="2398">
        <f>SUMPRODUCT((I63:I65=J47)*(J62:L62=J48)*(J63:L65))</f>
        <v>0</v>
      </c>
      <c r="K50" s="2396" t="s">
        <v>2356</v>
      </c>
      <c r="L50" s="2397"/>
      <c r="O50" s="2427" t="s">
        <v>2386</v>
      </c>
      <c r="P50" s="2425" t="s">
        <v>2410</v>
      </c>
      <c r="Q50" s="2426">
        <f ca="1">C29</f>
        <v>0</v>
      </c>
      <c r="R50" s="2425" t="s">
        <v>2383</v>
      </c>
    </row>
    <row r="51" spans="1:18" s="2061" customFormat="1" ht="18" customHeight="1" thickBot="1">
      <c r="A51" s="786"/>
      <c r="B51" s="787"/>
      <c r="C51" s="788"/>
      <c r="D51" s="789"/>
      <c r="E51" s="784" t="s">
        <v>641</v>
      </c>
      <c r="F51" s="2373"/>
      <c r="H51" s="2095"/>
      <c r="I51" s="2386" t="s">
        <v>2350</v>
      </c>
      <c r="J51" s="2399">
        <f>IF(J49="",J50,J49+J50-YEAR('数据-取费表'!B2))</f>
        <v>0</v>
      </c>
      <c r="K51" s="2385" t="s">
        <v>2357</v>
      </c>
      <c r="L51" s="2400">
        <f ca="1">ROUND(-PV(INDIRECT("'数据-取费表'!h"&amp;$G$1),L48,(C39-C13*J36),0),0)</f>
        <v>0</v>
      </c>
      <c r="O51" s="2427" t="s">
        <v>2387</v>
      </c>
      <c r="P51" s="2425" t="s">
        <v>2388</v>
      </c>
      <c r="Q51" s="2428" t="e">
        <f ca="1">J58</f>
        <v>#VALUE!</v>
      </c>
      <c r="R51" s="2429"/>
    </row>
    <row r="52" spans="1:18" s="2061" customFormat="1" ht="18" customHeight="1" thickBot="1">
      <c r="A52" s="781" t="s">
        <v>2541</v>
      </c>
      <c r="B52" s="2520" t="s">
        <v>2463</v>
      </c>
      <c r="C52" s="799">
        <f ca="1">ROUND(IF(F52="押一",F48*F50*F49/12*F11,IF(F52="押二",F48*F50*F49/12*2*F11,IF(F52="押三",F48*F50*F49/12*3*F11,C53*F11)))/10000,0)</f>
        <v>0</v>
      </c>
      <c r="D52" s="2527" t="s">
        <v>2470</v>
      </c>
      <c r="E52" s="2524" t="s">
        <v>2468</v>
      </c>
      <c r="F52" s="2647"/>
      <c r="I52" s="2387" t="s">
        <v>2424</v>
      </c>
      <c r="J52" s="2401"/>
      <c r="K52" s="2387" t="s">
        <v>2423</v>
      </c>
      <c r="L52" s="2401"/>
      <c r="O52" s="2427" t="s">
        <v>2389</v>
      </c>
      <c r="P52" s="2425" t="s">
        <v>2390</v>
      </c>
      <c r="Q52" s="2428">
        <f>J52</f>
        <v>0</v>
      </c>
      <c r="R52" s="2429"/>
    </row>
    <row r="53" spans="1:18" s="2061" customFormat="1" ht="39.75" customHeight="1" thickBot="1">
      <c r="A53" s="786"/>
      <c r="B53" s="2521" t="s">
        <v>2578</v>
      </c>
      <c r="C53" s="2525"/>
      <c r="D53" s="2527"/>
      <c r="E53" s="2524"/>
      <c r="F53" s="800"/>
      <c r="I53" s="2388" t="s">
        <v>2351</v>
      </c>
      <c r="J53" s="2402" t="b">
        <f>IF(M47="住宅",J51,IF(D1="——",MIN(J51,L48),IF(D1="土地（套用方法）",MIN(J51,L48-'数据-取费表'!B20))))</f>
        <v>0</v>
      </c>
      <c r="K53" s="3444" t="s">
        <v>2973</v>
      </c>
      <c r="L53" s="3445"/>
      <c r="O53" s="2427" t="s">
        <v>2391</v>
      </c>
      <c r="P53" s="2425" t="s">
        <v>2392</v>
      </c>
      <c r="Q53" s="2426" t="b">
        <f>J53</f>
        <v>0</v>
      </c>
      <c r="R53" s="2425" t="s">
        <v>2393</v>
      </c>
    </row>
    <row r="54" spans="1:18" s="2061" customFormat="1" ht="18" customHeight="1" thickBot="1">
      <c r="A54" s="2563" t="s">
        <v>2472</v>
      </c>
      <c r="B54" s="2564" t="s">
        <v>2464</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2394</v>
      </c>
      <c r="P54" s="2425" t="s">
        <v>2411</v>
      </c>
      <c r="Q54" s="2426" t="e">
        <f ca="1">Q48+Q49</f>
        <v>#DIV/0!</v>
      </c>
      <c r="R54" s="2429" t="s">
        <v>2395</v>
      </c>
    </row>
    <row r="55" spans="1:18" s="2061" customFormat="1" ht="18" customHeight="1" thickTop="1" thickBot="1">
      <c r="A55" s="797">
        <v>2</v>
      </c>
      <c r="B55" s="798" t="s">
        <v>645</v>
      </c>
      <c r="C55" s="799">
        <f ca="1">C13</f>
        <v>0</v>
      </c>
      <c r="D55" s="795"/>
      <c r="E55" s="795"/>
      <c r="F55" s="800"/>
      <c r="I55" s="3128" t="s">
        <v>2358</v>
      </c>
      <c r="J55" s="3127" t="e">
        <f ca="1">ROUND(IF(J47="钢混",J57/J50,1-(1-2%)*(J50-J57)/J50),3)</f>
        <v>#VALUE!</v>
      </c>
      <c r="K55" s="2403" t="s">
        <v>2359</v>
      </c>
      <c r="L55" s="2404"/>
      <c r="O55" s="2430" t="s">
        <v>2414</v>
      </c>
      <c r="P55" s="1593"/>
      <c r="Q55" s="1605"/>
      <c r="R55" s="1593"/>
    </row>
    <row r="56" spans="1:18" s="2061" customFormat="1" ht="42.75" customHeight="1" thickBot="1">
      <c r="A56" s="1651"/>
      <c r="B56" s="2233" t="s">
        <v>2305</v>
      </c>
      <c r="C56" s="53">
        <f ca="1">C29</f>
        <v>0</v>
      </c>
      <c r="D56" s="2666"/>
      <c r="E56" s="784"/>
      <c r="F56" s="809"/>
      <c r="I56" s="2405" t="s">
        <v>2360</v>
      </c>
      <c r="J56" s="3151" t="s">
        <v>1680</v>
      </c>
      <c r="K56" s="2385" t="s">
        <v>2365</v>
      </c>
      <c r="L56" s="2394">
        <f ca="1">IF(L48&lt;J51,"——",L48-J51)</f>
        <v>0</v>
      </c>
      <c r="O56" s="2421" t="s">
        <v>2378</v>
      </c>
      <c r="P56" s="2422" t="s">
        <v>2379</v>
      </c>
      <c r="Q56" s="2423" t="s">
        <v>2380</v>
      </c>
      <c r="R56" s="2422" t="s">
        <v>2381</v>
      </c>
    </row>
    <row r="57" spans="1:18" s="2061" customFormat="1" ht="28.5" customHeight="1" thickBot="1">
      <c r="A57" s="797" t="s">
        <v>1750</v>
      </c>
      <c r="B57" s="798" t="s">
        <v>652</v>
      </c>
      <c r="C57" s="799">
        <f ca="1">ROUND(C58+C63+C64+C65,0)</f>
        <v>0</v>
      </c>
      <c r="D57" s="26" t="s">
        <v>1752</v>
      </c>
      <c r="E57" s="2667"/>
      <c r="F57" s="56"/>
      <c r="I57" s="2406" t="s">
        <v>2361</v>
      </c>
      <c r="J57" s="2408" t="str">
        <f ca="1">IF(OR(M47="住宅",J51&lt;L48,J56="是"),"——",J51-L48)</f>
        <v>——</v>
      </c>
      <c r="K57" s="2385" t="s">
        <v>2366</v>
      </c>
      <c r="L57" s="2394">
        <f ca="1">IF(L48&lt;J51,"——",IF(L55="比较法",L49,IF(L55="基准地价",L50,L51)))</f>
        <v>0</v>
      </c>
      <c r="O57" s="2424" t="s">
        <v>2382</v>
      </c>
      <c r="P57" s="2425" t="s">
        <v>2412</v>
      </c>
      <c r="Q57" s="2426" t="e">
        <f ca="1">C40+J29</f>
        <v>#DIV/0!</v>
      </c>
      <c r="R57" s="2425" t="s">
        <v>2383</v>
      </c>
    </row>
    <row r="58" spans="1:18" s="2061" customFormat="1" ht="28.5" customHeight="1" thickBot="1">
      <c r="A58" s="1650" t="s">
        <v>1826</v>
      </c>
      <c r="B58" s="784" t="s">
        <v>657</v>
      </c>
      <c r="C58" s="53">
        <f ca="1">ROUND(IF(项目基本情况!B11="自然人",C47*F58,C59+C60+C61),1)</f>
        <v>0</v>
      </c>
      <c r="D58" s="2665" t="s">
        <v>658</v>
      </c>
      <c r="E58" s="2666" t="s">
        <v>691</v>
      </c>
      <c r="F58" s="810" t="str">
        <f ca="1">IF(项目基本情况!B11="企业","",IF(INDIRECT("'数据-取费表'!c"&amp;$G$1)="住宅",5%,IF(F48*F49*F50/12/(1+'数据-取费表'!C42)&gt;20000,12%,7%)))</f>
        <v/>
      </c>
      <c r="I58" s="2406" t="s">
        <v>2362</v>
      </c>
      <c r="J58" s="3129" t="e">
        <f ca="1">IF(J55&lt;0.4,0.4,J55)</f>
        <v>#VALUE!</v>
      </c>
      <c r="K58" s="2385" t="s">
        <v>2367</v>
      </c>
      <c r="L58" s="2394" t="e">
        <f ca="1">ROUND(POWER(1+L52,L47-L48)*(POWER(1+L52,L48)-1)/(POWER(1+L52,L47)-1),4)</f>
        <v>#DIV/0!</v>
      </c>
      <c r="O58" s="2424" t="s">
        <v>2384</v>
      </c>
      <c r="P58" s="2425" t="s">
        <v>2415</v>
      </c>
      <c r="Q58" s="2426" t="e">
        <f ca="1">L60</f>
        <v>#DIV/0!</v>
      </c>
      <c r="R58" s="2429" t="s">
        <v>2417</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2363</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2386</v>
      </c>
      <c r="P59" s="2425" t="s">
        <v>2416</v>
      </c>
      <c r="Q59" s="2426">
        <f>IF(L55="比较法",L49,IF(L55="基准地价",L50,0))</f>
        <v>0</v>
      </c>
      <c r="R59" s="2425" t="s">
        <v>2383</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2364</v>
      </c>
      <c r="J60" s="2409" t="str">
        <f ca="1">IF(OR(M47="住宅",J51&lt;L48,J56="是"),"0",ROUND(J59/(1+J52)^J53,0))</f>
        <v>0</v>
      </c>
      <c r="K60" s="2410" t="s">
        <v>2369</v>
      </c>
      <c r="L60" s="2409" t="e">
        <f ca="1">IF(OR(M47="住宅",L48&lt;J51),0,ROUND(L57*(L58/L59-1),0))</f>
        <v>#DIV/0!</v>
      </c>
      <c r="O60" s="2427" t="s">
        <v>2387</v>
      </c>
      <c r="P60" s="2425" t="s">
        <v>2396</v>
      </c>
      <c r="Q60" s="2428">
        <f>L52</f>
        <v>0</v>
      </c>
      <c r="R60" s="2429"/>
    </row>
    <row r="61" spans="1:18" s="2061" customFormat="1" ht="18" customHeight="1" thickBot="1">
      <c r="A61" s="1652" t="s">
        <v>1835</v>
      </c>
      <c r="B61" s="341" t="s">
        <v>669</v>
      </c>
      <c r="C61" s="54">
        <f ca="1">ROUND(F61*F62/10000,1)</f>
        <v>0</v>
      </c>
      <c r="D61" s="814" t="s">
        <v>670</v>
      </c>
      <c r="E61" s="784" t="s">
        <v>671</v>
      </c>
      <c r="F61" s="640">
        <f t="shared" si="0"/>
        <v>5</v>
      </c>
      <c r="K61" s="2088"/>
      <c r="O61" s="2427" t="s">
        <v>2389</v>
      </c>
      <c r="P61" s="2425" t="s">
        <v>2397</v>
      </c>
      <c r="Q61" s="2426" t="e">
        <f ca="1">L58</f>
        <v>#DIV/0!</v>
      </c>
      <c r="R61" s="2429" t="s">
        <v>2398</v>
      </c>
    </row>
    <row r="62" spans="1:18" s="2061" customFormat="1" ht="15.75" thickBot="1">
      <c r="A62" s="815"/>
      <c r="B62" s="793"/>
      <c r="C62" s="69"/>
      <c r="D62" s="816"/>
      <c r="E62" s="784" t="s">
        <v>675</v>
      </c>
      <c r="F62" s="785">
        <f t="shared" ca="1" si="0"/>
        <v>0</v>
      </c>
      <c r="I62" s="2411" t="s">
        <v>2370</v>
      </c>
      <c r="J62" s="2412" t="s">
        <v>2371</v>
      </c>
      <c r="K62" s="2412" t="s">
        <v>2372</v>
      </c>
      <c r="L62" s="2412" t="s">
        <v>2353</v>
      </c>
      <c r="M62" s="3130" t="s">
        <v>2948</v>
      </c>
      <c r="O62" s="2427" t="s">
        <v>2391</v>
      </c>
      <c r="P62" s="2425" t="str">
        <f>K59</f>
        <v>建设期及建筑物耐用年限下的土地年期修正系数Kn</v>
      </c>
      <c r="Q62" s="2426" t="e">
        <f ca="1">L59</f>
        <v>#DIV/0!</v>
      </c>
      <c r="R62" s="2429" t="s">
        <v>2400</v>
      </c>
    </row>
    <row r="63" spans="1:18" s="2061" customFormat="1" ht="15.75" thickBot="1">
      <c r="A63" s="1650" t="s">
        <v>1891</v>
      </c>
      <c r="B63" s="784" t="s">
        <v>677</v>
      </c>
      <c r="C63" s="53">
        <f ca="1">ROUND(C56*F63,1)</f>
        <v>0</v>
      </c>
      <c r="D63" s="2666" t="s">
        <v>1805</v>
      </c>
      <c r="E63" s="784" t="s">
        <v>1749</v>
      </c>
      <c r="F63" s="817">
        <f t="shared" ca="1" si="0"/>
        <v>0</v>
      </c>
      <c r="I63" s="2411" t="s">
        <v>2373</v>
      </c>
      <c r="J63" s="2412">
        <v>70</v>
      </c>
      <c r="K63" s="2412">
        <v>50</v>
      </c>
      <c r="L63" s="2412">
        <v>80</v>
      </c>
      <c r="M63" s="3131">
        <v>0.02</v>
      </c>
      <c r="O63" s="2424" t="s">
        <v>2394</v>
      </c>
      <c r="P63" s="2425" t="s">
        <v>2411</v>
      </c>
      <c r="Q63" s="2426" t="e">
        <f ca="1">Q57+Q58</f>
        <v>#DIV/0!</v>
      </c>
      <c r="R63" s="2429" t="s">
        <v>2395</v>
      </c>
    </row>
    <row r="64" spans="1:18" s="2061" customFormat="1" ht="16.5" thickBot="1">
      <c r="A64" s="1650" t="s">
        <v>1892</v>
      </c>
      <c r="B64" s="784" t="s">
        <v>680</v>
      </c>
      <c r="C64" s="53">
        <f ca="1">ROUND(C55*F64,1)</f>
        <v>0</v>
      </c>
      <c r="D64" s="2666" t="s">
        <v>681</v>
      </c>
      <c r="E64" s="784" t="s">
        <v>1749</v>
      </c>
      <c r="F64" s="818">
        <f t="shared" ca="1" si="0"/>
        <v>0</v>
      </c>
      <c r="I64" s="2411" t="s">
        <v>2374</v>
      </c>
      <c r="J64" s="2412">
        <v>50</v>
      </c>
      <c r="K64" s="2412">
        <v>35</v>
      </c>
      <c r="L64" s="2412">
        <v>60</v>
      </c>
      <c r="M64" s="3132">
        <v>0</v>
      </c>
      <c r="O64" s="2430" t="s">
        <v>2418</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2375</v>
      </c>
      <c r="J65" s="2412">
        <v>40</v>
      </c>
      <c r="K65" s="2412">
        <v>30</v>
      </c>
      <c r="L65" s="2412">
        <v>50</v>
      </c>
      <c r="M65" s="3131">
        <v>0.02</v>
      </c>
      <c r="O65" s="2421" t="s">
        <v>2378</v>
      </c>
      <c r="P65" s="2422" t="s">
        <v>2379</v>
      </c>
      <c r="Q65" s="2423" t="s">
        <v>2380</v>
      </c>
      <c r="R65" s="2422" t="s">
        <v>2381</v>
      </c>
    </row>
    <row r="66" spans="1:18" s="2061" customFormat="1" ht="24.75" thickBot="1">
      <c r="A66" s="797" t="s">
        <v>1778</v>
      </c>
      <c r="B66" s="3039" t="s">
        <v>2828</v>
      </c>
      <c r="C66" s="799">
        <f ca="1">C47-C57</f>
        <v>0</v>
      </c>
      <c r="D66" s="2665" t="s">
        <v>701</v>
      </c>
      <c r="E66" s="2664"/>
      <c r="F66" s="820"/>
      <c r="K66" s="2088"/>
      <c r="O66" s="2424" t="s">
        <v>2382</v>
      </c>
      <c r="P66" s="2425" t="s">
        <v>2412</v>
      </c>
      <c r="Q66" s="2426" t="e">
        <f ca="1">C40+J29</f>
        <v>#DIV/0!</v>
      </c>
      <c r="R66" s="2425" t="s">
        <v>2383</v>
      </c>
    </row>
    <row r="67" spans="1:18" s="2061" customFormat="1" ht="20.25" thickBot="1">
      <c r="A67" s="781" t="s">
        <v>1782</v>
      </c>
      <c r="B67" s="2234" t="s">
        <v>2304</v>
      </c>
      <c r="C67" s="783" t="e">
        <f ca="1">ROUND(C66*(1-((1+F69)/(1+F67))^F68)/(F67-F69),0)</f>
        <v>#DIV/0!</v>
      </c>
      <c r="D67" s="814" t="s">
        <v>705</v>
      </c>
      <c r="E67" s="784" t="s">
        <v>706</v>
      </c>
      <c r="F67" s="794">
        <f ca="1">F40</f>
        <v>0</v>
      </c>
      <c r="K67" s="2088"/>
      <c r="O67" s="2424" t="s">
        <v>2384</v>
      </c>
      <c r="P67" s="2425" t="s">
        <v>2415</v>
      </c>
      <c r="Q67" s="2426" t="e">
        <f ca="1">L60</f>
        <v>#DIV/0!</v>
      </c>
      <c r="R67" s="2429" t="s">
        <v>2417</v>
      </c>
    </row>
    <row r="68" spans="1:18" ht="21.75" thickBot="1">
      <c r="A68" s="786"/>
      <c r="B68" s="787"/>
      <c r="C68" s="788"/>
      <c r="D68" s="821" t="s">
        <v>1810</v>
      </c>
      <c r="E68" s="784" t="s">
        <v>1786</v>
      </c>
      <c r="F68" s="822">
        <f ca="1">F41</f>
        <v>0</v>
      </c>
      <c r="O68" s="2427" t="s">
        <v>2386</v>
      </c>
      <c r="P68" s="2425" t="s">
        <v>2416</v>
      </c>
      <c r="Q68" s="2431">
        <f ca="1">L51</f>
        <v>0</v>
      </c>
      <c r="R68" s="2432" t="s">
        <v>2419</v>
      </c>
    </row>
    <row r="69" spans="1:18" ht="20.25" thickBot="1">
      <c r="A69" s="790"/>
      <c r="B69" s="791"/>
      <c r="C69" s="792"/>
      <c r="D69" s="816"/>
      <c r="E69" s="784" t="s">
        <v>711</v>
      </c>
      <c r="F69" s="2373"/>
      <c r="O69" s="2427" t="s">
        <v>2387</v>
      </c>
      <c r="P69" s="2433" t="s">
        <v>2401</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2402</v>
      </c>
      <c r="P70" s="2433" t="s">
        <v>2403</v>
      </c>
      <c r="Q70" s="2426">
        <f ca="1">C39</f>
        <v>0</v>
      </c>
      <c r="R70" s="2425" t="s">
        <v>2383</v>
      </c>
    </row>
    <row r="71" spans="1:18" ht="15.75" thickBot="1">
      <c r="O71" s="2427" t="s">
        <v>2404</v>
      </c>
      <c r="P71" s="2433" t="s">
        <v>2405</v>
      </c>
      <c r="Q71" s="2426">
        <f ca="1">C13</f>
        <v>0</v>
      </c>
      <c r="R71" s="2425" t="s">
        <v>2383</v>
      </c>
    </row>
    <row r="72" spans="1:18" ht="15.75" thickBot="1">
      <c r="O72" s="2427" t="s">
        <v>2406</v>
      </c>
      <c r="P72" s="2433" t="s">
        <v>2407</v>
      </c>
      <c r="Q72" s="2428">
        <f ca="1">J36</f>
        <v>0</v>
      </c>
      <c r="R72" s="2429"/>
    </row>
    <row r="73" spans="1:18" ht="15.75" thickBot="1">
      <c r="O73" s="2427" t="s">
        <v>2389</v>
      </c>
      <c r="P73" s="2425" t="s">
        <v>2396</v>
      </c>
      <c r="Q73" s="2428">
        <f>L52</f>
        <v>0</v>
      </c>
      <c r="R73" s="2429"/>
    </row>
    <row r="74" spans="1:18" ht="20.25" thickBot="1">
      <c r="O74" s="2427" t="s">
        <v>2391</v>
      </c>
      <c r="P74" s="2425" t="s">
        <v>2397</v>
      </c>
      <c r="Q74" s="2426" t="e">
        <f ca="1">L58</f>
        <v>#DIV/0!</v>
      </c>
      <c r="R74" s="2429" t="s">
        <v>2398</v>
      </c>
    </row>
    <row r="75" spans="1:18" ht="15.75" thickBot="1">
      <c r="O75" s="2427" t="s">
        <v>2420</v>
      </c>
      <c r="P75" s="2425" t="str">
        <f>K59</f>
        <v>建设期及建筑物耐用年限下的土地年期修正系数Kn</v>
      </c>
      <c r="Q75" s="2426" t="e">
        <f ca="1">L59</f>
        <v>#DIV/0!</v>
      </c>
      <c r="R75" s="2429" t="s">
        <v>2400</v>
      </c>
    </row>
    <row r="76" spans="1:18" ht="15.75" thickBot="1">
      <c r="O76" s="2424" t="s">
        <v>2394</v>
      </c>
      <c r="P76" s="2425" t="s">
        <v>2411</v>
      </c>
      <c r="Q76" s="2426" t="e">
        <f ca="1">Q66+Q67</f>
        <v>#DIV/0!</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446" t="s">
        <v>2476</v>
      </c>
      <c r="B1" s="3447"/>
      <c r="C1" s="3448"/>
      <c r="D1" s="3449">
        <f>SUM(I10,I15,I20,I21,I23)</f>
        <v>0</v>
      </c>
      <c r="E1" s="3449"/>
      <c r="F1" s="3449"/>
      <c r="G1" s="3449"/>
      <c r="H1" s="3449"/>
      <c r="I1" s="3450"/>
    </row>
    <row r="2" spans="1:9">
      <c r="A2" s="3451" t="s">
        <v>2477</v>
      </c>
      <c r="B2" s="3452" t="s">
        <v>2478</v>
      </c>
      <c r="C2" s="3452"/>
      <c r="D2" s="2533" t="s">
        <v>2479</v>
      </c>
      <c r="E2" s="2533" t="s">
        <v>2480</v>
      </c>
      <c r="F2" s="2533" t="s">
        <v>2481</v>
      </c>
      <c r="G2" s="2533" t="s">
        <v>2482</v>
      </c>
      <c r="H2" s="2533" t="s">
        <v>2483</v>
      </c>
      <c r="I2" s="2534" t="s">
        <v>2484</v>
      </c>
    </row>
    <row r="3" spans="1:9">
      <c r="A3" s="3451"/>
      <c r="B3" s="3452" t="s">
        <v>2485</v>
      </c>
      <c r="C3" s="3452"/>
      <c r="D3" s="2535"/>
      <c r="E3" s="2533"/>
      <c r="F3" s="2536"/>
      <c r="G3" s="2536"/>
      <c r="H3" s="2537"/>
      <c r="I3" s="2538">
        <f>ROUND(D3*E3*F3*G3*H3/10000,0)</f>
        <v>0</v>
      </c>
    </row>
    <row r="4" spans="1:9">
      <c r="A4" s="3451"/>
      <c r="B4" s="3452" t="s">
        <v>2486</v>
      </c>
      <c r="C4" s="3452"/>
      <c r="D4" s="2535"/>
      <c r="E4" s="2533"/>
      <c r="F4" s="2536"/>
      <c r="G4" s="2536"/>
      <c r="H4" s="2537"/>
      <c r="I4" s="2538">
        <f t="shared" ref="I4:I9" si="0">ROUND(D4*E4*F4*G4*H4/10000,0)</f>
        <v>0</v>
      </c>
    </row>
    <row r="5" spans="1:9">
      <c r="A5" s="3451"/>
      <c r="B5" s="3452" t="s">
        <v>2487</v>
      </c>
      <c r="C5" s="3452"/>
      <c r="D5" s="2535"/>
      <c r="E5" s="2533"/>
      <c r="F5" s="2536"/>
      <c r="G5" s="2536"/>
      <c r="H5" s="2537"/>
      <c r="I5" s="2538">
        <f t="shared" si="0"/>
        <v>0</v>
      </c>
    </row>
    <row r="6" spans="1:9">
      <c r="A6" s="3451"/>
      <c r="B6" s="3452" t="s">
        <v>2488</v>
      </c>
      <c r="C6" s="3452"/>
      <c r="D6" s="2535"/>
      <c r="E6" s="2533"/>
      <c r="F6" s="2536"/>
      <c r="G6" s="2536"/>
      <c r="H6" s="2537"/>
      <c r="I6" s="2538">
        <f t="shared" si="0"/>
        <v>0</v>
      </c>
    </row>
    <row r="7" spans="1:9">
      <c r="A7" s="3451"/>
      <c r="B7" s="3452" t="s">
        <v>2489</v>
      </c>
      <c r="C7" s="3452"/>
      <c r="D7" s="2535"/>
      <c r="E7" s="2533"/>
      <c r="F7" s="2536"/>
      <c r="G7" s="2536"/>
      <c r="H7" s="2537"/>
      <c r="I7" s="2538">
        <f t="shared" si="0"/>
        <v>0</v>
      </c>
    </row>
    <row r="8" spans="1:9">
      <c r="A8" s="3451"/>
      <c r="B8" s="3452" t="s">
        <v>2490</v>
      </c>
      <c r="C8" s="3452"/>
      <c r="D8" s="2535"/>
      <c r="E8" s="2533"/>
      <c r="F8" s="2536"/>
      <c r="G8" s="2536"/>
      <c r="H8" s="2537"/>
      <c r="I8" s="2538">
        <f t="shared" si="0"/>
        <v>0</v>
      </c>
    </row>
    <row r="9" spans="1:9">
      <c r="A9" s="3451"/>
      <c r="B9" s="3452" t="s">
        <v>2491</v>
      </c>
      <c r="C9" s="3452"/>
      <c r="D9" s="2535"/>
      <c r="E9" s="2533"/>
      <c r="F9" s="2536"/>
      <c r="G9" s="2536"/>
      <c r="H9" s="2537"/>
      <c r="I9" s="2538">
        <f t="shared" si="0"/>
        <v>0</v>
      </c>
    </row>
    <row r="10" spans="1:9">
      <c r="A10" s="3451"/>
      <c r="B10" s="3453" t="s">
        <v>2492</v>
      </c>
      <c r="C10" s="3453"/>
      <c r="D10" s="2539">
        <v>527</v>
      </c>
      <c r="E10" s="2539" t="e">
        <f>ROUND(D1*10000/D10/H9,0)</f>
        <v>#DIV/0!</v>
      </c>
      <c r="F10" s="2540"/>
      <c r="G10" s="2540"/>
      <c r="H10" s="2541"/>
      <c r="I10" s="2542">
        <f>SUM(I3:I9)</f>
        <v>0</v>
      </c>
    </row>
    <row r="11" spans="1:9" ht="14.25">
      <c r="A11" s="3451" t="s">
        <v>2493</v>
      </c>
      <c r="B11" s="3452" t="s">
        <v>2494</v>
      </c>
      <c r="C11" s="3452"/>
      <c r="D11" s="2535" t="s">
        <v>2495</v>
      </c>
      <c r="E11" s="2535" t="s">
        <v>2496</v>
      </c>
      <c r="F11" s="2536" t="s">
        <v>2497</v>
      </c>
      <c r="G11" s="2536" t="s">
        <v>2498</v>
      </c>
      <c r="H11" s="2543" t="s">
        <v>2499</v>
      </c>
      <c r="I11" s="2534" t="s">
        <v>2500</v>
      </c>
    </row>
    <row r="12" spans="1:9">
      <c r="A12" s="3451"/>
      <c r="B12" s="3452" t="s">
        <v>2501</v>
      </c>
      <c r="C12" s="3452"/>
      <c r="D12" s="2535"/>
      <c r="E12" s="2535"/>
      <c r="F12" s="2536"/>
      <c r="G12" s="2537"/>
      <c r="H12" s="2544"/>
      <c r="I12" s="2534">
        <f>ROUND(D12*E12*F12*G12/10000,0)</f>
        <v>0</v>
      </c>
    </row>
    <row r="13" spans="1:9">
      <c r="A13" s="3451"/>
      <c r="B13" s="3452" t="s">
        <v>2502</v>
      </c>
      <c r="C13" s="3452"/>
      <c r="D13" s="2535"/>
      <c r="E13" s="2535"/>
      <c r="F13" s="2536"/>
      <c r="G13" s="2537"/>
      <c r="H13" s="2544"/>
      <c r="I13" s="2534">
        <f>ROUND(D13*E13*F13*G13/10000,0)</f>
        <v>0</v>
      </c>
    </row>
    <row r="14" spans="1:9">
      <c r="A14" s="3451"/>
      <c r="B14" s="3452" t="s">
        <v>2503</v>
      </c>
      <c r="C14" s="3452"/>
      <c r="D14" s="2535"/>
      <c r="E14" s="2535"/>
      <c r="F14" s="2536"/>
      <c r="G14" s="2537"/>
      <c r="H14" s="2544"/>
      <c r="I14" s="2534">
        <f>ROUND(D14*E14*F14*G14/10000,0)</f>
        <v>0</v>
      </c>
    </row>
    <row r="15" spans="1:9">
      <c r="A15" s="3451"/>
      <c r="B15" s="3453" t="s">
        <v>2492</v>
      </c>
      <c r="C15" s="3453"/>
      <c r="D15" s="2539"/>
      <c r="E15" s="2539">
        <f>SUM(E12:E14)</f>
        <v>0</v>
      </c>
      <c r="F15" s="2540"/>
      <c r="G15" s="2537"/>
      <c r="H15" s="2544"/>
      <c r="I15" s="2545">
        <f>SUM(I12:I14)</f>
        <v>0</v>
      </c>
    </row>
    <row r="16" spans="1:9" ht="24">
      <c r="A16" s="3451" t="s">
        <v>2504</v>
      </c>
      <c r="B16" s="3452" t="s">
        <v>2505</v>
      </c>
      <c r="C16" s="3452"/>
      <c r="D16" s="2535" t="s">
        <v>2506</v>
      </c>
      <c r="E16" s="2546" t="s">
        <v>2507</v>
      </c>
      <c r="F16" s="2536" t="s">
        <v>2508</v>
      </c>
      <c r="G16" s="2537" t="s">
        <v>2498</v>
      </c>
      <c r="H16" s="2543" t="s">
        <v>2499</v>
      </c>
      <c r="I16" s="2534" t="s">
        <v>2500</v>
      </c>
    </row>
    <row r="17" spans="1:9" ht="14.25">
      <c r="A17" s="3451"/>
      <c r="B17" s="3452" t="s">
        <v>2509</v>
      </c>
      <c r="C17" s="3452"/>
      <c r="D17" s="2535"/>
      <c r="E17" s="2535"/>
      <c r="F17" s="2536"/>
      <c r="G17" s="2537"/>
      <c r="H17" s="2547"/>
      <c r="I17" s="2548">
        <f>ROUND(D17*E17*F17*G17/10000,0)</f>
        <v>0</v>
      </c>
    </row>
    <row r="18" spans="1:9" ht="14.25">
      <c r="A18" s="3451"/>
      <c r="B18" s="3452" t="s">
        <v>2510</v>
      </c>
      <c r="C18" s="3452"/>
      <c r="D18" s="2535"/>
      <c r="E18" s="2535"/>
      <c r="F18" s="2536"/>
      <c r="G18" s="2537"/>
      <c r="H18" s="2547"/>
      <c r="I18" s="2548">
        <f>ROUND(D18*E18*F18*G18/10000,0)</f>
        <v>0</v>
      </c>
    </row>
    <row r="19" spans="1:9" ht="14.25">
      <c r="A19" s="3451"/>
      <c r="B19" s="3452" t="s">
        <v>2511</v>
      </c>
      <c r="C19" s="3452"/>
      <c r="D19" s="2535"/>
      <c r="E19" s="2535"/>
      <c r="F19" s="2536"/>
      <c r="G19" s="2537"/>
      <c r="H19" s="2547"/>
      <c r="I19" s="2548">
        <f>ROUND(D19*E19*F19*G19/10000,0)</f>
        <v>0</v>
      </c>
    </row>
    <row r="20" spans="1:9">
      <c r="A20" s="3451"/>
      <c r="B20" s="3453" t="s">
        <v>2492</v>
      </c>
      <c r="C20" s="3453"/>
      <c r="D20" s="2539">
        <f>SUM(D17:D19)</f>
        <v>0</v>
      </c>
      <c r="E20" s="2539"/>
      <c r="F20" s="2540"/>
      <c r="G20" s="2537"/>
      <c r="H20" s="2544"/>
      <c r="I20" s="2545">
        <f>SUM(I17:I19)</f>
        <v>0</v>
      </c>
    </row>
    <row r="21" spans="1:9">
      <c r="A21" s="3451" t="s">
        <v>2512</v>
      </c>
      <c r="B21" s="3455"/>
      <c r="C21" s="3455"/>
      <c r="D21" s="3455"/>
      <c r="E21" s="3455"/>
      <c r="F21" s="3455"/>
      <c r="G21" s="3455"/>
      <c r="H21" s="2549">
        <v>0.1</v>
      </c>
      <c r="I21" s="2542">
        <f>ROUND(I10*H21,0)</f>
        <v>0</v>
      </c>
    </row>
    <row r="22" spans="1:9" ht="14.25">
      <c r="A22" s="3456" t="s">
        <v>2513</v>
      </c>
      <c r="B22" s="3457"/>
      <c r="C22" s="3458"/>
      <c r="D22" s="2550" t="s">
        <v>2514</v>
      </c>
      <c r="E22" s="2550" t="s">
        <v>2515</v>
      </c>
      <c r="F22" s="2551" t="s">
        <v>2516</v>
      </c>
      <c r="G22" s="2551" t="s">
        <v>2517</v>
      </c>
      <c r="H22" s="2543" t="s">
        <v>2518</v>
      </c>
      <c r="I22" s="2534" t="s">
        <v>2519</v>
      </c>
    </row>
    <row r="23" spans="1:9" ht="14.25" thickBot="1">
      <c r="A23" s="3459"/>
      <c r="B23" s="3460"/>
      <c r="C23" s="3461"/>
      <c r="D23" s="2552"/>
      <c r="E23" s="2552"/>
      <c r="F23" s="2552"/>
      <c r="G23" s="2553"/>
      <c r="H23" s="2554"/>
      <c r="I23" s="2555">
        <f>ROUND(E23*D23*F23*(1-G23)/10000,0)</f>
        <v>0</v>
      </c>
    </row>
    <row r="26" spans="1:9">
      <c r="A26" s="2556" t="s">
        <v>2520</v>
      </c>
      <c r="B26" s="2556"/>
      <c r="C26" s="2556"/>
      <c r="D26" s="2556"/>
      <c r="E26" s="3462">
        <f>C27-C30-C31-C32</f>
        <v>0</v>
      </c>
      <c r="F26" s="3462"/>
      <c r="G26" s="3462"/>
      <c r="H26" s="3072" t="s">
        <v>2849</v>
      </c>
    </row>
    <row r="27" spans="1:9">
      <c r="A27" s="2557">
        <v>1</v>
      </c>
      <c r="B27" s="2558" t="s">
        <v>2521</v>
      </c>
      <c r="C27" s="2558"/>
      <c r="D27" s="2558"/>
      <c r="E27" s="3463"/>
      <c r="F27" s="3463"/>
      <c r="G27" s="3463"/>
    </row>
    <row r="28" spans="1:9">
      <c r="A28" s="2559" t="s">
        <v>2522</v>
      </c>
      <c r="B28" s="2558" t="s">
        <v>2523</v>
      </c>
      <c r="C28" s="2558"/>
      <c r="D28" s="2558"/>
      <c r="E28" s="3463"/>
      <c r="F28" s="3463"/>
      <c r="G28" s="3463"/>
    </row>
    <row r="29" spans="1:9">
      <c r="A29" s="2559" t="s">
        <v>2524</v>
      </c>
      <c r="B29" s="2558" t="s">
        <v>2464</v>
      </c>
      <c r="C29" s="2558"/>
      <c r="D29" s="2558"/>
      <c r="E29" s="2558" t="s">
        <v>2525</v>
      </c>
      <c r="F29" s="2558"/>
      <c r="G29" s="2558"/>
    </row>
    <row r="30" spans="1:9">
      <c r="A30" s="2557">
        <v>2</v>
      </c>
      <c r="B30" s="2558" t="s">
        <v>2526</v>
      </c>
      <c r="C30" s="2558">
        <f>C27*D30</f>
        <v>0</v>
      </c>
      <c r="D30" s="2560">
        <v>0.2</v>
      </c>
      <c r="E30" s="2558" t="s">
        <v>2527</v>
      </c>
      <c r="F30" s="2558"/>
      <c r="G30" s="2558"/>
    </row>
    <row r="31" spans="1:9">
      <c r="A31" s="2557">
        <v>3</v>
      </c>
      <c r="B31" s="2558" t="s">
        <v>2528</v>
      </c>
      <c r="C31" s="2558">
        <f>C25*D31</f>
        <v>0</v>
      </c>
      <c r="D31" s="2560">
        <v>0.15</v>
      </c>
      <c r="E31" s="2558" t="s">
        <v>2529</v>
      </c>
      <c r="F31" s="2558"/>
      <c r="G31" s="2558"/>
    </row>
    <row r="32" spans="1:9">
      <c r="A32" s="2557">
        <v>4</v>
      </c>
      <c r="B32" s="2558" t="s">
        <v>2530</v>
      </c>
      <c r="C32" s="2558">
        <f>C27*D32</f>
        <v>0</v>
      </c>
      <c r="D32" s="2560">
        <v>0.05</v>
      </c>
      <c r="E32" s="3454"/>
      <c r="F32" s="3454"/>
      <c r="G32" s="3454"/>
    </row>
    <row r="33" spans="1:7" hidden="1">
      <c r="A33" s="3464" t="s">
        <v>2531</v>
      </c>
      <c r="B33" s="3465"/>
      <c r="C33" s="3465"/>
      <c r="D33" s="3466"/>
      <c r="E33" s="3462"/>
      <c r="F33" s="3462"/>
      <c r="G33" s="3462"/>
    </row>
    <row r="34" spans="1:7" hidden="1">
      <c r="A34" s="2561">
        <v>1</v>
      </c>
      <c r="B34" s="2558" t="s">
        <v>2532</v>
      </c>
      <c r="C34" s="2558"/>
      <c r="D34" s="2558"/>
      <c r="E34" s="3463"/>
      <c r="F34" s="3463"/>
      <c r="G34" s="3463"/>
    </row>
    <row r="35" spans="1:7" hidden="1">
      <c r="A35" s="2561">
        <v>2</v>
      </c>
      <c r="B35" s="2558" t="s">
        <v>2533</v>
      </c>
      <c r="C35" s="2558"/>
      <c r="D35" s="2558"/>
      <c r="E35" s="3463"/>
      <c r="F35" s="3463"/>
      <c r="G35" s="3463"/>
    </row>
    <row r="36" spans="1:7" hidden="1">
      <c r="A36" s="2561">
        <v>3</v>
      </c>
      <c r="B36" s="2558" t="s">
        <v>2534</v>
      </c>
      <c r="C36" s="2558"/>
      <c r="D36" s="2558"/>
      <c r="E36" s="3463"/>
      <c r="F36" s="3463"/>
      <c r="G36" s="3463"/>
    </row>
    <row r="37" spans="1:7" hidden="1">
      <c r="A37" s="2561">
        <v>4</v>
      </c>
      <c r="B37" s="2558" t="s">
        <v>2535</v>
      </c>
      <c r="C37" s="2558"/>
      <c r="D37" s="2558"/>
      <c r="E37" s="3463"/>
      <c r="F37" s="3463"/>
      <c r="G37" s="3463"/>
    </row>
    <row r="38" spans="1:7" hidden="1">
      <c r="A38" s="3464" t="s">
        <v>2536</v>
      </c>
      <c r="B38" s="3465"/>
      <c r="C38" s="3465"/>
      <c r="D38" s="3466"/>
      <c r="E38" s="3462"/>
      <c r="F38" s="3462"/>
      <c r="G38" s="34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2443</v>
      </c>
      <c r="B8" s="2498" t="s">
        <v>2445</v>
      </c>
      <c r="C8" s="2499"/>
      <c r="D8" s="749"/>
      <c r="E8" s="750"/>
      <c r="F8" s="750"/>
      <c r="G8" s="751"/>
    </row>
    <row r="9" spans="1:25" s="2185" customFormat="1" ht="13.5" customHeight="1">
      <c r="A9" s="2495" t="s">
        <v>2444</v>
      </c>
      <c r="B9" s="2498" t="s">
        <v>2446</v>
      </c>
      <c r="C9" s="2499"/>
      <c r="D9" s="749"/>
      <c r="E9" s="750"/>
      <c r="F9" s="750"/>
      <c r="G9" s="751"/>
    </row>
    <row r="10" spans="1:25" s="2185" customFormat="1" ht="36">
      <c r="A10" s="2495">
        <v>2</v>
      </c>
      <c r="B10" s="748" t="s">
        <v>614</v>
      </c>
      <c r="C10" s="749">
        <f>C11+C14+C15</f>
        <v>0</v>
      </c>
      <c r="D10" s="760">
        <f>'数据-汇总表'!E3</f>
        <v>8000.25</v>
      </c>
      <c r="E10" s="749">
        <f>'数据-取费表'!B31</f>
        <v>0</v>
      </c>
      <c r="F10" s="761"/>
      <c r="G10" s="759" t="s">
        <v>615</v>
      </c>
    </row>
    <row r="11" spans="1:25" s="2185" customFormat="1" ht="13.5" customHeight="1">
      <c r="A11" s="2495" t="s">
        <v>2443</v>
      </c>
      <c r="B11" s="752" t="s">
        <v>611</v>
      </c>
      <c r="C11" s="753">
        <f>'数据-取费表'!B29</f>
        <v>0</v>
      </c>
      <c r="D11" s="754"/>
      <c r="E11" s="753"/>
      <c r="F11" s="755"/>
      <c r="G11" s="2504" t="s">
        <v>2454</v>
      </c>
    </row>
    <row r="12" spans="1:25" s="2185" customFormat="1" ht="13.5" customHeight="1">
      <c r="A12" s="2502" t="s">
        <v>2451</v>
      </c>
      <c r="B12" s="756" t="s">
        <v>612</v>
      </c>
      <c r="C12" s="757">
        <f>ROUND(D12*E12/10000,0)</f>
        <v>44</v>
      </c>
      <c r="D12" s="758">
        <f>'数据-汇总表'!E5</f>
        <v>8000.25</v>
      </c>
      <c r="E12" s="757">
        <f>'数据-取费表'!B27</f>
        <v>55</v>
      </c>
      <c r="F12" s="755"/>
      <c r="G12" s="759"/>
    </row>
    <row r="13" spans="1:25" s="2185" customFormat="1" ht="13.5" customHeight="1">
      <c r="A13" s="2502" t="s">
        <v>2450</v>
      </c>
      <c r="B13" s="756" t="s">
        <v>613</v>
      </c>
      <c r="C13" s="757">
        <f>ROUND(D13*E13/10000,0)</f>
        <v>0</v>
      </c>
      <c r="D13" s="758">
        <f>'数据-汇总表'!E6</f>
        <v>0</v>
      </c>
      <c r="E13" s="757">
        <f>'数据-取费表'!B28</f>
        <v>90</v>
      </c>
      <c r="F13" s="755"/>
      <c r="G13" s="759"/>
    </row>
    <row r="14" spans="1:25" s="2185" customFormat="1" ht="13.5" customHeight="1">
      <c r="A14" s="2495" t="s">
        <v>2444</v>
      </c>
      <c r="B14" s="2501" t="s">
        <v>2447</v>
      </c>
      <c r="C14" s="2499"/>
      <c r="D14" s="758"/>
      <c r="E14" s="757"/>
      <c r="F14" s="2500"/>
      <c r="G14" s="2503" t="s">
        <v>2452</v>
      </c>
    </row>
    <row r="15" spans="1:25" s="2185" customFormat="1" ht="13.5" customHeight="1">
      <c r="A15" s="2495" t="s">
        <v>2449</v>
      </c>
      <c r="B15" s="2501" t="s">
        <v>2448</v>
      </c>
      <c r="C15" s="2499"/>
      <c r="D15" s="758"/>
      <c r="E15" s="757"/>
      <c r="F15" s="2500"/>
      <c r="G15" s="2503" t="s">
        <v>2453</v>
      </c>
    </row>
    <row r="16" spans="1:25" s="2186" customFormat="1" ht="48">
      <c r="A16" s="2495">
        <v>3</v>
      </c>
      <c r="B16" s="748" t="s">
        <v>616</v>
      </c>
      <c r="C16" s="2499"/>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0.25</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0.86199999999999999</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56" t="s">
        <v>523</v>
      </c>
      <c r="D4" s="3357"/>
      <c r="E4" s="3391" t="s">
        <v>524</v>
      </c>
      <c r="F4" s="3392"/>
      <c r="G4" s="3356" t="s">
        <v>525</v>
      </c>
      <c r="H4" s="3357"/>
      <c r="I4" s="3356" t="s">
        <v>526</v>
      </c>
      <c r="J4" s="3357"/>
      <c r="K4" s="514" t="s">
        <v>527</v>
      </c>
      <c r="L4" s="2135"/>
      <c r="M4" s="2136"/>
      <c r="N4" s="2136"/>
      <c r="O4" s="2136"/>
      <c r="P4" s="3358" t="s">
        <v>528</v>
      </c>
      <c r="Q4" s="3359"/>
      <c r="R4" s="3364" t="s">
        <v>524</v>
      </c>
      <c r="S4" s="3365"/>
      <c r="T4" s="3364" t="s">
        <v>525</v>
      </c>
      <c r="U4" s="3365"/>
      <c r="V4" s="3351" t="s">
        <v>526</v>
      </c>
      <c r="W4" s="3351"/>
      <c r="X4" s="1568"/>
      <c r="Y4" s="3364" t="s">
        <v>528</v>
      </c>
      <c r="Z4" s="3365"/>
      <c r="AA4" s="3353" t="s">
        <v>524</v>
      </c>
      <c r="AB4" s="3351" t="s">
        <v>525</v>
      </c>
      <c r="AC4" s="3353" t="s">
        <v>526</v>
      </c>
    </row>
    <row r="5" spans="1:29" ht="15">
      <c r="A5" s="515"/>
      <c r="B5" s="516"/>
      <c r="C5" s="3372" t="s">
        <v>2933</v>
      </c>
      <c r="D5" s="3373"/>
      <c r="E5" s="3397" t="s">
        <v>2934</v>
      </c>
      <c r="F5" s="3398"/>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1"/>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1"/>
      <c r="AC6" s="3355"/>
    </row>
    <row r="7" spans="1:29" s="1220" customFormat="1" ht="15.75" thickBot="1">
      <c r="A7" s="2940"/>
      <c r="B7" s="2947" t="s">
        <v>530</v>
      </c>
      <c r="C7" s="519">
        <f>'数据-取费表'!B2</f>
        <v>43074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1" t="s">
        <v>531</v>
      </c>
      <c r="Q7" s="3383"/>
      <c r="R7" s="1569" t="s">
        <v>8</v>
      </c>
      <c r="S7" s="1570">
        <f t="shared" ref="S7:S15" si="0">F7</f>
        <v>0</v>
      </c>
      <c r="T7" s="1569" t="s">
        <v>8</v>
      </c>
      <c r="U7" s="1570">
        <f t="shared" ref="U7:U15" si="1">H7</f>
        <v>0</v>
      </c>
      <c r="V7" s="1569" t="s">
        <v>8</v>
      </c>
      <c r="W7" s="1570">
        <f t="shared" ref="W7:W15"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46" si="3">D8/F8</f>
        <v>#DIV/0!</v>
      </c>
      <c r="AB8" s="1572" t="e">
        <f t="shared" ref="AB8:AB46" si="4">D8/H8</f>
        <v>#DIV/0!</v>
      </c>
      <c r="AC8" s="1572" t="e">
        <f t="shared" ref="AC8:AC46" si="5">D8/J8</f>
        <v>#DIV/0!</v>
      </c>
    </row>
    <row r="9" spans="1:29" s="1220" customFormat="1" ht="15">
      <c r="A9" s="2942"/>
      <c r="B9" s="2949" t="s">
        <v>2762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71.25">
      <c r="A15" s="2938"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4" t="s">
        <v>541</v>
      </c>
      <c r="Q15" s="1573" t="str">
        <f t="shared" si="6"/>
        <v>商业繁华度</v>
      </c>
      <c r="R15" s="1574" t="s">
        <v>8</v>
      </c>
      <c r="S15" s="1575">
        <f t="shared" si="0"/>
        <v>100</v>
      </c>
      <c r="T15" s="1574" t="s">
        <v>8</v>
      </c>
      <c r="U15" s="1575">
        <f t="shared" si="1"/>
        <v>100</v>
      </c>
      <c r="V15" s="1574" t="s">
        <v>8</v>
      </c>
      <c r="W15" s="1575">
        <f t="shared" si="2"/>
        <v>100</v>
      </c>
      <c r="X15" s="1568"/>
      <c r="Y15" s="3384"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85"/>
      <c r="Q22" s="2605"/>
      <c r="R22" s="1574"/>
      <c r="S22" s="1575"/>
      <c r="T22" s="1574"/>
      <c r="U22" s="1575"/>
      <c r="V22" s="1574"/>
      <c r="W22" s="1575"/>
      <c r="X22" s="2607"/>
      <c r="Y22" s="3385"/>
      <c r="Z22" s="2606"/>
      <c r="AA22" s="1577">
        <v>1</v>
      </c>
      <c r="AB22" s="1577">
        <v>1</v>
      </c>
      <c r="AC22" s="1577">
        <v>1</v>
      </c>
    </row>
    <row r="23" spans="1:29" ht="57">
      <c r="A23" s="532"/>
      <c r="B23" s="871" t="s">
        <v>297</v>
      </c>
      <c r="C23" s="900"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5"/>
      <c r="Q25" s="1573" t="str">
        <f t="shared" ref="Q25:Q46" si="11">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5"/>
      <c r="Q26" s="1573" t="str">
        <f t="shared" si="11"/>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5"/>
      <c r="Q27" s="1151" t="str">
        <f t="shared" si="11"/>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5"/>
      <c r="Q29" s="1573">
        <f t="shared" si="11"/>
        <v>111</v>
      </c>
      <c r="R29" s="1574" t="s">
        <v>8</v>
      </c>
      <c r="S29" s="1575">
        <f t="shared" si="12"/>
        <v>100</v>
      </c>
      <c r="T29" s="1574" t="s">
        <v>8</v>
      </c>
      <c r="U29" s="1575">
        <f t="shared" si="13"/>
        <v>100</v>
      </c>
      <c r="V29" s="1574" t="s">
        <v>8</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
      <c r="A32" s="2935"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6" t="s">
        <v>551</v>
      </c>
      <c r="Q32" s="1573" t="str">
        <f t="shared" si="11"/>
        <v>商业类型</v>
      </c>
      <c r="R32" s="1574" t="s">
        <v>8</v>
      </c>
      <c r="S32" s="1575">
        <f t="shared" si="12"/>
        <v>100</v>
      </c>
      <c r="T32" s="1574" t="s">
        <v>8</v>
      </c>
      <c r="U32" s="1575">
        <f t="shared" si="13"/>
        <v>100</v>
      </c>
      <c r="V32" s="1574" t="s">
        <v>8</v>
      </c>
      <c r="W32" s="1575">
        <f t="shared" si="14"/>
        <v>100</v>
      </c>
      <c r="X32" s="1568"/>
      <c r="Y32" s="3387"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7"/>
      <c r="Q33" s="1606" t="str">
        <f t="shared" si="11"/>
        <v>项目建筑规模</v>
      </c>
      <c r="R33" s="1578" t="s">
        <v>8</v>
      </c>
      <c r="S33" s="1579" t="e">
        <f t="shared" si="12"/>
        <v>#N/A</v>
      </c>
      <c r="T33" s="1578" t="s">
        <v>8</v>
      </c>
      <c r="U33" s="1579" t="e">
        <f t="shared" si="13"/>
        <v>#N/A</v>
      </c>
      <c r="V33" s="1578" t="s">
        <v>8</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7"/>
      <c r="Q34" s="1573" t="str">
        <f t="shared" si="11"/>
        <v>建筑结构</v>
      </c>
      <c r="R34" s="1574" t="s">
        <v>8</v>
      </c>
      <c r="S34" s="1575">
        <f t="shared" si="12"/>
        <v>100</v>
      </c>
      <c r="T34" s="1574" t="s">
        <v>8</v>
      </c>
      <c r="U34" s="1575">
        <f t="shared" si="13"/>
        <v>100</v>
      </c>
      <c r="V34" s="1574" t="s">
        <v>8</v>
      </c>
      <c r="W34" s="1575">
        <f t="shared" si="14"/>
        <v>100</v>
      </c>
      <c r="X34" s="1568"/>
      <c r="Y34" s="3387"/>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7"/>
      <c r="Q35" s="1573" t="str">
        <f t="shared" si="11"/>
        <v>公共部分装修</v>
      </c>
      <c r="R35" s="1574" t="s">
        <v>8</v>
      </c>
      <c r="S35" s="1575">
        <f t="shared" si="12"/>
        <v>100</v>
      </c>
      <c r="T35" s="1574" t="s">
        <v>8</v>
      </c>
      <c r="U35" s="1575">
        <f t="shared" si="13"/>
        <v>100</v>
      </c>
      <c r="V35" s="1574" t="s">
        <v>8</v>
      </c>
      <c r="W35" s="1575">
        <f t="shared" si="14"/>
        <v>100</v>
      </c>
      <c r="X35" s="1568"/>
      <c r="Y35" s="3387"/>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7"/>
      <c r="Q36" s="1573" t="str">
        <f t="shared" si="11"/>
        <v>成新度</v>
      </c>
      <c r="R36" s="1574" t="s">
        <v>8</v>
      </c>
      <c r="S36" s="1575" t="e">
        <f t="shared" si="12"/>
        <v>#N/A</v>
      </c>
      <c r="T36" s="1574" t="s">
        <v>8</v>
      </c>
      <c r="U36" s="1575" t="e">
        <f t="shared" si="13"/>
        <v>#N/A</v>
      </c>
      <c r="V36" s="1574" t="s">
        <v>8</v>
      </c>
      <c r="W36" s="1575" t="e">
        <f t="shared" si="14"/>
        <v>#N/A</v>
      </c>
      <c r="X36" s="1568"/>
      <c r="Y36" s="3387"/>
      <c r="Z36" s="1576" t="str">
        <f t="shared" si="15"/>
        <v>成新度</v>
      </c>
      <c r="AA36" s="1577" t="e">
        <f t="shared" si="3"/>
        <v>#N/A</v>
      </c>
      <c r="AB36" s="1577" t="e">
        <f t="shared" si="4"/>
        <v>#N/A</v>
      </c>
      <c r="AC36" s="1577" t="e">
        <f t="shared" si="5"/>
        <v>#N/A</v>
      </c>
    </row>
    <row r="37" spans="1:29" s="1220" customFormat="1" ht="15">
      <c r="A37" s="600"/>
      <c r="B37" s="1897"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7"/>
      <c r="Q37" s="1151" t="str">
        <f t="shared" si="11"/>
        <v>市政基础设施</v>
      </c>
      <c r="R37" s="1569" t="s">
        <v>8</v>
      </c>
      <c r="S37" s="1570">
        <f t="shared" si="12"/>
        <v>100</v>
      </c>
      <c r="T37" s="1569" t="s">
        <v>8</v>
      </c>
      <c r="U37" s="1570">
        <f t="shared" si="13"/>
        <v>100</v>
      </c>
      <c r="V37" s="1569" t="s">
        <v>8</v>
      </c>
      <c r="W37" s="1570">
        <f t="shared" si="14"/>
        <v>100</v>
      </c>
      <c r="X37" s="1571"/>
      <c r="Y37" s="3387"/>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7" t="s">
        <v>767</v>
      </c>
      <c r="Q38" s="1573" t="str">
        <f t="shared" si="11"/>
        <v>业态</v>
      </c>
      <c r="R38" s="1574" t="s">
        <v>8</v>
      </c>
      <c r="S38" s="1575">
        <f t="shared" si="12"/>
        <v>100</v>
      </c>
      <c r="T38" s="1574" t="s">
        <v>8</v>
      </c>
      <c r="U38" s="1575">
        <f t="shared" si="13"/>
        <v>100</v>
      </c>
      <c r="V38" s="1574" t="s">
        <v>8</v>
      </c>
      <c r="W38" s="1575">
        <f t="shared" si="14"/>
        <v>100</v>
      </c>
      <c r="X38" s="1568"/>
      <c r="Y38" s="3387"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c r="Q39" s="1573" t="str">
        <f t="shared" si="11"/>
        <v>层高</v>
      </c>
      <c r="R39" s="1574" t="s">
        <v>8</v>
      </c>
      <c r="S39" s="1575">
        <f t="shared" si="12"/>
        <v>100</v>
      </c>
      <c r="T39" s="1574" t="s">
        <v>8</v>
      </c>
      <c r="U39" s="1575">
        <f t="shared" si="13"/>
        <v>100</v>
      </c>
      <c r="V39" s="1574" t="s">
        <v>8</v>
      </c>
      <c r="W39" s="1575">
        <f t="shared" si="14"/>
        <v>100</v>
      </c>
      <c r="X39" s="1568"/>
      <c r="Y39" s="3387"/>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7"/>
      <c r="Q40" s="1573" t="str">
        <f t="shared" si="11"/>
        <v>单套建筑面积</v>
      </c>
      <c r="R40" s="1574" t="s">
        <v>8</v>
      </c>
      <c r="S40" s="1575">
        <f t="shared" si="12"/>
        <v>100</v>
      </c>
      <c r="T40" s="1574" t="s">
        <v>8</v>
      </c>
      <c r="U40" s="1575">
        <f t="shared" si="13"/>
        <v>100</v>
      </c>
      <c r="V40" s="1574" t="s">
        <v>8</v>
      </c>
      <c r="W40" s="1575">
        <f t="shared" si="14"/>
        <v>100</v>
      </c>
      <c r="X40" s="1568"/>
      <c r="Y40" s="3387"/>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7"/>
      <c r="Q41" s="1606" t="str">
        <f t="shared" si="11"/>
        <v>进深比</v>
      </c>
      <c r="R41" s="1578" t="s">
        <v>8</v>
      </c>
      <c r="S41" s="1579">
        <f t="shared" si="12"/>
        <v>100</v>
      </c>
      <c r="T41" s="1578" t="s">
        <v>8</v>
      </c>
      <c r="U41" s="1579">
        <f t="shared" si="13"/>
        <v>100</v>
      </c>
      <c r="V41" s="1578" t="s">
        <v>8</v>
      </c>
      <c r="W41" s="1579">
        <f t="shared" si="14"/>
        <v>100</v>
      </c>
      <c r="X41" s="1580"/>
      <c r="Y41" s="3387"/>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7"/>
      <c r="Q42" s="1573" t="str">
        <f t="shared" si="11"/>
        <v>内部装修</v>
      </c>
      <c r="R42" s="1574" t="s">
        <v>8</v>
      </c>
      <c r="S42" s="1575">
        <f t="shared" si="12"/>
        <v>100</v>
      </c>
      <c r="T42" s="1574" t="s">
        <v>8</v>
      </c>
      <c r="U42" s="1575">
        <f t="shared" si="13"/>
        <v>100</v>
      </c>
      <c r="V42" s="1574" t="s">
        <v>8</v>
      </c>
      <c r="W42" s="1575">
        <f t="shared" si="14"/>
        <v>100</v>
      </c>
      <c r="X42" s="1568"/>
      <c r="Y42" s="3387"/>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7"/>
      <c r="Q43" s="1573" t="str">
        <f t="shared" si="11"/>
        <v>内部装修维护情况</v>
      </c>
      <c r="R43" s="1574" t="s">
        <v>8</v>
      </c>
      <c r="S43" s="1575">
        <f t="shared" si="12"/>
        <v>100</v>
      </c>
      <c r="T43" s="1574" t="s">
        <v>8</v>
      </c>
      <c r="U43" s="1575">
        <f t="shared" si="13"/>
        <v>100</v>
      </c>
      <c r="V43" s="1574" t="s">
        <v>8</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7"/>
      <c r="Q44" s="1151">
        <f t="shared" si="11"/>
        <v>111</v>
      </c>
      <c r="R44" s="1569" t="s">
        <v>8</v>
      </c>
      <c r="S44" s="1570">
        <f t="shared" si="12"/>
        <v>100</v>
      </c>
      <c r="T44" s="1569" t="s">
        <v>8</v>
      </c>
      <c r="U44" s="1570">
        <f t="shared" si="13"/>
        <v>100</v>
      </c>
      <c r="V44" s="1569" t="s">
        <v>8</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7"/>
      <c r="Q45" s="1573">
        <f t="shared" si="11"/>
        <v>111</v>
      </c>
      <c r="R45" s="1574" t="s">
        <v>8</v>
      </c>
      <c r="S45" s="1575">
        <f t="shared" si="12"/>
        <v>100</v>
      </c>
      <c r="T45" s="1574" t="s">
        <v>8</v>
      </c>
      <c r="U45" s="1575">
        <f t="shared" si="13"/>
        <v>100</v>
      </c>
      <c r="V45" s="1574" t="s">
        <v>8</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390"/>
      <c r="Q46" s="1573">
        <f t="shared" si="11"/>
        <v>111</v>
      </c>
      <c r="R46" s="1574" t="s">
        <v>8</v>
      </c>
      <c r="S46" s="1575">
        <f t="shared" si="12"/>
        <v>100</v>
      </c>
      <c r="T46" s="1574" t="s">
        <v>8</v>
      </c>
      <c r="U46" s="1575">
        <f t="shared" si="13"/>
        <v>100</v>
      </c>
      <c r="V46" s="1574" t="s">
        <v>8</v>
      </c>
      <c r="W46" s="1575">
        <f t="shared" si="14"/>
        <v>100</v>
      </c>
      <c r="X46" s="1568"/>
      <c r="Y46" s="3390"/>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50" t="str">
        <f>A47</f>
        <v>成交单价（元/平方米）</v>
      </c>
      <c r="Q47" s="3350"/>
      <c r="R47" s="3389">
        <f>E47</f>
        <v>0</v>
      </c>
      <c r="S47" s="3389"/>
      <c r="T47" s="3389">
        <f>G47</f>
        <v>0</v>
      </c>
      <c r="U47" s="3389"/>
      <c r="V47" s="3389">
        <f>I47</f>
        <v>0</v>
      </c>
      <c r="W47" s="3389"/>
      <c r="X47" s="1560"/>
      <c r="Y47" s="1582"/>
      <c r="Z47" s="1560"/>
      <c r="AA47" s="1560"/>
      <c r="AB47" s="1560"/>
      <c r="AC47" s="1560"/>
    </row>
    <row r="48" spans="1:29" ht="15.75" thickBot="1">
      <c r="A48" s="615" t="s">
        <v>2766</v>
      </c>
      <c r="B48" s="888"/>
      <c r="C48" s="2659" t="e">
        <f>R49</f>
        <v>#DIV/0!</v>
      </c>
      <c r="D48" s="2660"/>
      <c r="E48" s="2661" t="e">
        <f>R48</f>
        <v>#DIV/0!</v>
      </c>
      <c r="F48" s="2661"/>
      <c r="G48" s="2659" t="e">
        <f>T48</f>
        <v>#DIV/0!</v>
      </c>
      <c r="H48" s="2660"/>
      <c r="I48" s="2661" t="e">
        <f>V48</f>
        <v>#DIV/0!</v>
      </c>
      <c r="J48" s="2660"/>
      <c r="K48" s="1613"/>
      <c r="L48" s="2146"/>
      <c r="M48" s="2147"/>
      <c r="N48" s="2136"/>
      <c r="O48" s="2147"/>
      <c r="P48" s="3350" t="str">
        <f>A48</f>
        <v>比较价格（元/平方米）</v>
      </c>
      <c r="Q48" s="3350"/>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1560"/>
      <c r="Y48" s="1560"/>
      <c r="Z48" s="1560"/>
      <c r="AA48" s="1560"/>
      <c r="AB48" s="1560"/>
      <c r="AC48" s="1560"/>
    </row>
    <row r="49" spans="1:29" ht="15.75" thickBot="1">
      <c r="A49" s="621" t="s">
        <v>2939</v>
      </c>
      <c r="B49" s="622"/>
      <c r="C49" s="2662" t="e">
        <f>R49</f>
        <v>#DIV/0!</v>
      </c>
      <c r="D49" s="2662"/>
      <c r="E49" s="2662"/>
      <c r="F49" s="2662"/>
      <c r="G49" s="2662"/>
      <c r="H49" s="2662"/>
      <c r="I49" s="2662"/>
      <c r="J49" s="2662"/>
      <c r="K49" s="1614"/>
      <c r="L49" s="2146"/>
      <c r="M49" s="2147"/>
      <c r="N49" s="2136"/>
      <c r="O49" s="2147"/>
      <c r="P49" s="3347" t="str">
        <f>A49</f>
        <v>估价对象XX用房的比较价格（楼面单价，元/平方米）</v>
      </c>
      <c r="Q49" s="3348"/>
      <c r="R49" s="3388" t="e">
        <f>IF(F1="售价",ROUND(AVERAGE(R48:V48),0),ROUND(AVERAGE(R48:V48),1))</f>
        <v>#DIV/0!</v>
      </c>
      <c r="S49" s="3388"/>
      <c r="T49" s="3388"/>
      <c r="U49" s="3388"/>
      <c r="V49" s="3388"/>
      <c r="W49" s="338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2561</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56" t="s">
        <v>523</v>
      </c>
      <c r="D4" s="3357"/>
      <c r="E4" s="3391" t="s">
        <v>524</v>
      </c>
      <c r="F4" s="3392"/>
      <c r="G4" s="3356" t="s">
        <v>525</v>
      </c>
      <c r="H4" s="3357"/>
      <c r="I4" s="3356" t="s">
        <v>526</v>
      </c>
      <c r="J4" s="3357"/>
      <c r="K4" s="514" t="s">
        <v>527</v>
      </c>
      <c r="L4" s="2135"/>
      <c r="M4" s="2136"/>
      <c r="N4" s="2136"/>
      <c r="O4" s="2136"/>
      <c r="P4" s="3468" t="s">
        <v>528</v>
      </c>
      <c r="Q4" s="3359"/>
      <c r="R4" s="3364" t="s">
        <v>524</v>
      </c>
      <c r="S4" s="3365"/>
      <c r="T4" s="3364" t="s">
        <v>525</v>
      </c>
      <c r="U4" s="3365"/>
      <c r="V4" s="3351" t="s">
        <v>526</v>
      </c>
      <c r="W4" s="3351"/>
      <c r="X4" s="1568"/>
      <c r="Y4" s="3364" t="s">
        <v>528</v>
      </c>
      <c r="Z4" s="3365"/>
      <c r="AA4" s="3353" t="s">
        <v>524</v>
      </c>
      <c r="AB4" s="3353" t="s">
        <v>525</v>
      </c>
      <c r="AC4" s="3353" t="s">
        <v>526</v>
      </c>
    </row>
    <row r="5" spans="1:29" ht="15">
      <c r="A5" s="515"/>
      <c r="B5" s="516"/>
      <c r="C5" s="3372" t="s">
        <v>2933</v>
      </c>
      <c r="D5" s="3373"/>
      <c r="E5" s="3397" t="s">
        <v>2934</v>
      </c>
      <c r="F5" s="3398"/>
      <c r="G5" s="3372" t="s">
        <v>2935</v>
      </c>
      <c r="H5" s="3373"/>
      <c r="I5" s="3372" t="s">
        <v>2936</v>
      </c>
      <c r="J5" s="3373"/>
      <c r="K5" s="514"/>
      <c r="L5" s="2135"/>
      <c r="M5" s="2136"/>
      <c r="N5" s="2136"/>
      <c r="O5" s="2136"/>
      <c r="P5" s="3469"/>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470"/>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3" t="s">
        <v>531</v>
      </c>
      <c r="Q7" s="3383"/>
      <c r="R7" s="1569" t="s">
        <v>8</v>
      </c>
      <c r="S7" s="1570">
        <f t="shared" ref="S7:S15" si="0">F7</f>
        <v>0</v>
      </c>
      <c r="T7" s="1569" t="s">
        <v>8</v>
      </c>
      <c r="U7" s="1570">
        <f t="shared" ref="U7:U15" si="1">H7</f>
        <v>0</v>
      </c>
      <c r="V7" s="1569" t="s">
        <v>8</v>
      </c>
      <c r="W7" s="1570">
        <f t="shared" ref="W7:W15"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3" t="s">
        <v>534</v>
      </c>
      <c r="Q8" s="3382"/>
      <c r="R8" s="1569" t="s">
        <v>8</v>
      </c>
      <c r="S8" s="1570">
        <f t="shared" si="0"/>
        <v>0</v>
      </c>
      <c r="T8" s="1569" t="s">
        <v>8</v>
      </c>
      <c r="U8" s="1570">
        <f t="shared" si="1"/>
        <v>0</v>
      </c>
      <c r="V8" s="1569" t="s">
        <v>8</v>
      </c>
      <c r="W8" s="1570">
        <f t="shared" si="2"/>
        <v>0</v>
      </c>
      <c r="X8" s="1571"/>
      <c r="Y8" s="3381" t="s">
        <v>534</v>
      </c>
      <c r="Z8" s="3382"/>
      <c r="AA8" s="1572" t="e">
        <f t="shared" ref="AA8:AA47" si="3">D8/F8</f>
        <v>#DIV/0!</v>
      </c>
      <c r="AB8" s="1572" t="e">
        <f t="shared" ref="AB8:AB47" si="4">D8/H8</f>
        <v>#DIV/0!</v>
      </c>
      <c r="AC8" s="1572" t="e">
        <f t="shared" ref="AC8:AC47" si="5">D8/J8</f>
        <v>#DIV/0!</v>
      </c>
    </row>
    <row r="9" spans="1:29" s="1220" customFormat="1" ht="15">
      <c r="A9" s="2942"/>
      <c r="B9" s="2949" t="s">
        <v>2762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71.25">
      <c r="A15" s="2938"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4" t="s">
        <v>541</v>
      </c>
      <c r="Q15" s="1573" t="str">
        <f t="shared" si="6"/>
        <v>办公集聚程度</v>
      </c>
      <c r="R15" s="1574" t="s">
        <v>8</v>
      </c>
      <c r="S15" s="1575">
        <f t="shared" si="0"/>
        <v>100</v>
      </c>
      <c r="T15" s="1574" t="s">
        <v>8</v>
      </c>
      <c r="U15" s="1575">
        <f t="shared" si="1"/>
        <v>100</v>
      </c>
      <c r="V15" s="1574" t="s">
        <v>8</v>
      </c>
      <c r="W15" s="1575">
        <f t="shared" si="2"/>
        <v>100</v>
      </c>
      <c r="X15" s="1568"/>
      <c r="Y15" s="3384"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5"/>
      <c r="Q16" s="1573"/>
      <c r="R16" s="1574"/>
      <c r="S16" s="1575"/>
      <c r="T16" s="1574"/>
      <c r="U16" s="1575"/>
      <c r="V16" s="1574"/>
      <c r="W16" s="1575"/>
      <c r="X16" s="1568"/>
      <c r="Y16" s="3385"/>
      <c r="Z16" s="1576"/>
      <c r="AA16" s="1577">
        <v>1</v>
      </c>
      <c r="AB16" s="1577">
        <v>1</v>
      </c>
      <c r="AC16" s="1577">
        <v>1</v>
      </c>
    </row>
    <row r="17" spans="1:29" ht="99.75">
      <c r="A17" s="532"/>
      <c r="B17" s="560" t="s">
        <v>296</v>
      </c>
      <c r="C17" s="573" t="str">
        <f>估价对象房地状况!C6</f>
        <v>估价对象临沪瑞线，周边道路通达状况一般、附近公共交通较少，停车较便捷，综合评价交通便捷度一般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5"/>
      <c r="Q18" s="1573"/>
      <c r="R18" s="1574"/>
      <c r="S18" s="1575"/>
      <c r="T18" s="1574"/>
      <c r="U18" s="1575"/>
      <c r="V18" s="1574"/>
      <c r="W18" s="1575"/>
      <c r="X18" s="1568"/>
      <c r="Y18" s="3385"/>
      <c r="Z18" s="1576"/>
      <c r="AA18" s="1577">
        <v>1</v>
      </c>
      <c r="AB18" s="1577">
        <v>1</v>
      </c>
      <c r="AC18" s="1577">
        <v>1</v>
      </c>
    </row>
    <row r="19" spans="1:29" ht="42.75">
      <c r="A19" s="532"/>
      <c r="B19" s="2629" t="s">
        <v>2551</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5"/>
      <c r="Q20" s="1573"/>
      <c r="R20" s="1574"/>
      <c r="S20" s="1575"/>
      <c r="T20" s="1574"/>
      <c r="U20" s="1575"/>
      <c r="V20" s="1574"/>
      <c r="W20" s="1575"/>
      <c r="X20" s="1568"/>
      <c r="Y20" s="3385"/>
      <c r="Z20" s="1576"/>
      <c r="AA20" s="1577">
        <v>1</v>
      </c>
      <c r="AB20" s="1577">
        <v>1</v>
      </c>
      <c r="AC20" s="1577">
        <v>1</v>
      </c>
    </row>
    <row r="21" spans="1:29" ht="42.75">
      <c r="A21" s="532"/>
      <c r="B21" s="2617" t="s">
        <v>2563</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85"/>
      <c r="Q22" s="2605"/>
      <c r="R22" s="1574"/>
      <c r="S22" s="1575"/>
      <c r="T22" s="1574"/>
      <c r="U22" s="1575"/>
      <c r="V22" s="1574"/>
      <c r="W22" s="1575"/>
      <c r="X22" s="2607"/>
      <c r="Y22" s="3385"/>
      <c r="Z22" s="2606"/>
      <c r="AA22" s="1577">
        <v>1</v>
      </c>
      <c r="AB22" s="1577">
        <v>1</v>
      </c>
      <c r="AC22" s="1577">
        <v>1</v>
      </c>
    </row>
    <row r="23" spans="1:29" ht="57">
      <c r="A23" s="532"/>
      <c r="B23" s="560" t="s">
        <v>779</v>
      </c>
      <c r="C23" s="573" t="str">
        <f>估价对象房地状况!C9</f>
        <v>区域自然环境好；人文环境一般；综合评价环境状况较好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5"/>
      <c r="Q24" s="1573"/>
      <c r="R24" s="1574"/>
      <c r="S24" s="1575"/>
      <c r="T24" s="1574"/>
      <c r="U24" s="1575"/>
      <c r="V24" s="1574"/>
      <c r="W24" s="1575"/>
      <c r="X24" s="1568"/>
      <c r="Y24" s="3385"/>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5"/>
      <c r="Q26" s="1573"/>
      <c r="R26" s="1574"/>
      <c r="S26" s="1575"/>
      <c r="T26" s="1574"/>
      <c r="U26" s="1575"/>
      <c r="V26" s="1574"/>
      <c r="W26" s="1575"/>
      <c r="X26" s="1568"/>
      <c r="Y26" s="3385"/>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5"/>
      <c r="Q27" s="1573" t="str">
        <f t="shared" ref="Q27:Q47" si="11">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5"/>
      <c r="Q28" s="1151" t="str">
        <f t="shared" si="11"/>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5"/>
      <c r="Q29" s="1573">
        <f t="shared" si="11"/>
        <v>111</v>
      </c>
      <c r="R29" s="1574" t="s">
        <v>8</v>
      </c>
      <c r="S29" s="1575">
        <f t="shared" ref="S29:S47" si="12">F29</f>
        <v>100</v>
      </c>
      <c r="T29" s="1574" t="s">
        <v>8</v>
      </c>
      <c r="U29" s="1575">
        <f t="shared" ref="U29:U47" si="13">H29</f>
        <v>100</v>
      </c>
      <c r="V29" s="1574" t="s">
        <v>8</v>
      </c>
      <c r="W29" s="1575">
        <f t="shared" ref="W29:W47" si="14">J29</f>
        <v>100</v>
      </c>
      <c r="X29" s="1568"/>
      <c r="Y29" s="33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5"/>
      <c r="Q32" s="1573">
        <f t="shared" si="11"/>
        <v>111</v>
      </c>
      <c r="R32" s="1574" t="s">
        <v>8</v>
      </c>
      <c r="S32" s="1575">
        <f t="shared" si="12"/>
        <v>100</v>
      </c>
      <c r="T32" s="1574" t="s">
        <v>8</v>
      </c>
      <c r="U32" s="1575">
        <f t="shared" si="13"/>
        <v>100</v>
      </c>
      <c r="V32" s="1574" t="s">
        <v>8</v>
      </c>
      <c r="W32" s="1575">
        <f t="shared" si="14"/>
        <v>100</v>
      </c>
      <c r="X32" s="1568"/>
      <c r="Y32" s="3385"/>
      <c r="Z32" s="1576">
        <f t="shared" si="15"/>
        <v>111</v>
      </c>
      <c r="AA32" s="1577">
        <f t="shared" si="3"/>
        <v>1</v>
      </c>
      <c r="AB32" s="1577">
        <f t="shared" si="4"/>
        <v>1</v>
      </c>
      <c r="AC32" s="1577">
        <f t="shared" si="5"/>
        <v>1</v>
      </c>
    </row>
    <row r="33" spans="1:29" ht="15">
      <c r="A33" s="2935"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6" t="s">
        <v>551</v>
      </c>
      <c r="Q33" s="1573" t="str">
        <f t="shared" si="11"/>
        <v>建筑类型</v>
      </c>
      <c r="R33" s="1574" t="s">
        <v>8</v>
      </c>
      <c r="S33" s="1575">
        <f t="shared" si="12"/>
        <v>100</v>
      </c>
      <c r="T33" s="1574" t="s">
        <v>8</v>
      </c>
      <c r="U33" s="1575">
        <f t="shared" si="13"/>
        <v>100</v>
      </c>
      <c r="V33" s="1574" t="s">
        <v>8</v>
      </c>
      <c r="W33" s="1575">
        <f t="shared" si="14"/>
        <v>100</v>
      </c>
      <c r="X33" s="1568"/>
      <c r="Y33" s="3387"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87"/>
      <c r="Q34" s="1606" t="str">
        <f t="shared" si="11"/>
        <v>项目建筑规模</v>
      </c>
      <c r="R34" s="1578" t="s">
        <v>8</v>
      </c>
      <c r="S34" s="1579" t="e">
        <f t="shared" si="12"/>
        <v>#N/A</v>
      </c>
      <c r="T34" s="1578" t="s">
        <v>8</v>
      </c>
      <c r="U34" s="1579" t="e">
        <f t="shared" si="13"/>
        <v>#N/A</v>
      </c>
      <c r="V34" s="1578" t="s">
        <v>8</v>
      </c>
      <c r="W34" s="1579" t="e">
        <f t="shared" si="14"/>
        <v>#N/A</v>
      </c>
      <c r="X34" s="1580"/>
      <c r="Y34" s="3387"/>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7"/>
      <c r="Q35" s="1573" t="str">
        <f t="shared" si="11"/>
        <v>建筑结构</v>
      </c>
      <c r="R35" s="1574" t="s">
        <v>8</v>
      </c>
      <c r="S35" s="1575">
        <f t="shared" si="12"/>
        <v>100</v>
      </c>
      <c r="T35" s="1574" t="s">
        <v>8</v>
      </c>
      <c r="U35" s="1575">
        <f t="shared" si="13"/>
        <v>100</v>
      </c>
      <c r="V35" s="1574" t="s">
        <v>8</v>
      </c>
      <c r="W35" s="1575">
        <f t="shared" si="14"/>
        <v>100</v>
      </c>
      <c r="X35" s="1568"/>
      <c r="Y35" s="3387"/>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7"/>
      <c r="Q36" s="1573" t="str">
        <f t="shared" si="11"/>
        <v>公共部分装修</v>
      </c>
      <c r="R36" s="1574" t="s">
        <v>8</v>
      </c>
      <c r="S36" s="1575">
        <f t="shared" si="12"/>
        <v>100</v>
      </c>
      <c r="T36" s="1574" t="s">
        <v>8</v>
      </c>
      <c r="U36" s="1575">
        <f t="shared" si="13"/>
        <v>100</v>
      </c>
      <c r="V36" s="1574" t="s">
        <v>8</v>
      </c>
      <c r="W36" s="1575">
        <f t="shared" si="14"/>
        <v>100</v>
      </c>
      <c r="X36" s="1568"/>
      <c r="Y36" s="3387"/>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87"/>
      <c r="Q37" s="1573" t="str">
        <f t="shared" si="11"/>
        <v>成新度</v>
      </c>
      <c r="R37" s="1574" t="s">
        <v>8</v>
      </c>
      <c r="S37" s="1575" t="e">
        <f t="shared" si="12"/>
        <v>#N/A</v>
      </c>
      <c r="T37" s="1574" t="s">
        <v>8</v>
      </c>
      <c r="U37" s="1575" t="e">
        <f t="shared" si="13"/>
        <v>#N/A</v>
      </c>
      <c r="V37" s="1574" t="s">
        <v>8</v>
      </c>
      <c r="W37" s="1575" t="e">
        <f t="shared" si="14"/>
        <v>#N/A</v>
      </c>
      <c r="X37" s="1568"/>
      <c r="Y37" s="3387"/>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7"/>
      <c r="Q38" s="1151" t="str">
        <f t="shared" si="11"/>
        <v>写字楼等级</v>
      </c>
      <c r="R38" s="1569" t="s">
        <v>8</v>
      </c>
      <c r="S38" s="1570">
        <f t="shared" si="12"/>
        <v>100</v>
      </c>
      <c r="T38" s="1569" t="s">
        <v>8</v>
      </c>
      <c r="U38" s="1570">
        <f t="shared" si="13"/>
        <v>100</v>
      </c>
      <c r="V38" s="1569" t="s">
        <v>8</v>
      </c>
      <c r="W38" s="1570">
        <f t="shared" si="14"/>
        <v>100</v>
      </c>
      <c r="X38" s="1571"/>
      <c r="Y38" s="3387"/>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7" t="s">
        <v>551</v>
      </c>
      <c r="Q39" s="1573" t="str">
        <f t="shared" si="11"/>
        <v>物业管理</v>
      </c>
      <c r="R39" s="1574" t="s">
        <v>8</v>
      </c>
      <c r="S39" s="1575">
        <f t="shared" si="12"/>
        <v>100</v>
      </c>
      <c r="T39" s="1574" t="s">
        <v>8</v>
      </c>
      <c r="U39" s="1575">
        <f t="shared" si="13"/>
        <v>100</v>
      </c>
      <c r="V39" s="1574" t="s">
        <v>8</v>
      </c>
      <c r="W39" s="1575">
        <f t="shared" si="14"/>
        <v>100</v>
      </c>
      <c r="X39" s="1568"/>
      <c r="Y39" s="3387" t="s">
        <v>551</v>
      </c>
      <c r="Z39" s="1576" t="str">
        <f t="shared" si="15"/>
        <v>物业管理</v>
      </c>
      <c r="AA39" s="1577">
        <f t="shared" si="3"/>
        <v>1</v>
      </c>
      <c r="AB39" s="1577">
        <f t="shared" si="4"/>
        <v>1</v>
      </c>
      <c r="AC39" s="1577">
        <f t="shared" si="5"/>
        <v>1</v>
      </c>
    </row>
    <row r="40" spans="1:29" ht="15">
      <c r="A40" s="594"/>
      <c r="B40" s="1897"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7"/>
      <c r="Q40" s="1573" t="str">
        <f t="shared" si="11"/>
        <v>市政基础设施</v>
      </c>
      <c r="R40" s="1574" t="s">
        <v>8</v>
      </c>
      <c r="S40" s="1575">
        <f t="shared" si="12"/>
        <v>100</v>
      </c>
      <c r="T40" s="1574" t="s">
        <v>8</v>
      </c>
      <c r="U40" s="1575">
        <f t="shared" si="13"/>
        <v>100</v>
      </c>
      <c r="V40" s="1574" t="s">
        <v>8</v>
      </c>
      <c r="W40" s="1575">
        <f t="shared" si="14"/>
        <v>100</v>
      </c>
      <c r="X40" s="1568"/>
      <c r="Y40" s="3387"/>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7"/>
      <c r="Q41" s="1573" t="str">
        <f t="shared" si="11"/>
        <v>层高</v>
      </c>
      <c r="R41" s="1574" t="s">
        <v>8</v>
      </c>
      <c r="S41" s="1575">
        <f t="shared" si="12"/>
        <v>100</v>
      </c>
      <c r="T41" s="1574" t="s">
        <v>8</v>
      </c>
      <c r="U41" s="1575">
        <f t="shared" si="13"/>
        <v>100</v>
      </c>
      <c r="V41" s="1574" t="s">
        <v>8</v>
      </c>
      <c r="W41" s="1575">
        <f t="shared" si="14"/>
        <v>100</v>
      </c>
      <c r="X41" s="1568"/>
      <c r="Y41" s="3387"/>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7"/>
      <c r="Q42" s="1606" t="str">
        <f t="shared" si="11"/>
        <v>单套建筑面积</v>
      </c>
      <c r="R42" s="1578" t="s">
        <v>8</v>
      </c>
      <c r="S42" s="1579">
        <f t="shared" si="12"/>
        <v>100</v>
      </c>
      <c r="T42" s="1578" t="s">
        <v>8</v>
      </c>
      <c r="U42" s="1579">
        <f t="shared" si="13"/>
        <v>100</v>
      </c>
      <c r="V42" s="1578" t="s">
        <v>8</v>
      </c>
      <c r="W42" s="1579">
        <f t="shared" si="14"/>
        <v>100</v>
      </c>
      <c r="X42" s="1580"/>
      <c r="Y42" s="3387"/>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7"/>
      <c r="Q43" s="1573" t="str">
        <f t="shared" si="11"/>
        <v>内部装修</v>
      </c>
      <c r="R43" s="1574" t="s">
        <v>8</v>
      </c>
      <c r="S43" s="1575">
        <f t="shared" si="12"/>
        <v>100</v>
      </c>
      <c r="T43" s="1574" t="s">
        <v>8</v>
      </c>
      <c r="U43" s="1575">
        <f t="shared" si="13"/>
        <v>100</v>
      </c>
      <c r="V43" s="1574" t="s">
        <v>8</v>
      </c>
      <c r="W43" s="1575">
        <f t="shared" si="14"/>
        <v>100</v>
      </c>
      <c r="X43" s="1568"/>
      <c r="Y43" s="3387"/>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7"/>
      <c r="Q44" s="1573" t="str">
        <f t="shared" si="11"/>
        <v>内部装修维护情况</v>
      </c>
      <c r="R44" s="1574" t="s">
        <v>8</v>
      </c>
      <c r="S44" s="1575">
        <f t="shared" si="12"/>
        <v>100</v>
      </c>
      <c r="T44" s="1574" t="s">
        <v>8</v>
      </c>
      <c r="U44" s="1575">
        <f t="shared" si="13"/>
        <v>100</v>
      </c>
      <c r="V44" s="1574" t="s">
        <v>8</v>
      </c>
      <c r="W44" s="1575">
        <f t="shared" si="14"/>
        <v>100</v>
      </c>
      <c r="X44" s="1568"/>
      <c r="Y44" s="33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7"/>
      <c r="Q45" s="1151">
        <f t="shared" si="11"/>
        <v>111</v>
      </c>
      <c r="R45" s="1569" t="s">
        <v>8</v>
      </c>
      <c r="S45" s="1570">
        <f t="shared" si="12"/>
        <v>100</v>
      </c>
      <c r="T45" s="1569" t="s">
        <v>8</v>
      </c>
      <c r="U45" s="1570">
        <f t="shared" si="13"/>
        <v>100</v>
      </c>
      <c r="V45" s="1569" t="s">
        <v>8</v>
      </c>
      <c r="W45" s="1570">
        <f t="shared" si="14"/>
        <v>100</v>
      </c>
      <c r="X45" s="1571"/>
      <c r="Y45" s="33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7"/>
      <c r="Q46" s="1573">
        <f t="shared" si="11"/>
        <v>111</v>
      </c>
      <c r="R46" s="1574" t="s">
        <v>8</v>
      </c>
      <c r="S46" s="1575">
        <f t="shared" si="12"/>
        <v>100</v>
      </c>
      <c r="T46" s="1574" t="s">
        <v>8</v>
      </c>
      <c r="U46" s="1575">
        <f t="shared" si="13"/>
        <v>100</v>
      </c>
      <c r="V46" s="1574" t="s">
        <v>8</v>
      </c>
      <c r="W46" s="1575">
        <f t="shared" si="14"/>
        <v>100</v>
      </c>
      <c r="X46" s="1568"/>
      <c r="Y46" s="338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390"/>
      <c r="Q47" s="1573">
        <f t="shared" si="11"/>
        <v>111</v>
      </c>
      <c r="R47" s="1574" t="s">
        <v>8</v>
      </c>
      <c r="S47" s="1575">
        <f t="shared" si="12"/>
        <v>100</v>
      </c>
      <c r="T47" s="1574" t="s">
        <v>8</v>
      </c>
      <c r="U47" s="1575">
        <f t="shared" si="13"/>
        <v>100</v>
      </c>
      <c r="V47" s="1574" t="s">
        <v>8</v>
      </c>
      <c r="W47" s="1575">
        <f t="shared" si="14"/>
        <v>100</v>
      </c>
      <c r="X47" s="1568"/>
      <c r="Y47" s="3390"/>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48" t="str">
        <f>A48</f>
        <v>成交单价（元/平方米）</v>
      </c>
      <c r="Q48" s="3350"/>
      <c r="R48" s="3389">
        <f>E48</f>
        <v>0</v>
      </c>
      <c r="S48" s="3389"/>
      <c r="T48" s="3389">
        <f>G48</f>
        <v>0</v>
      </c>
      <c r="U48" s="3389"/>
      <c r="V48" s="3389">
        <f>I48</f>
        <v>0</v>
      </c>
      <c r="W48" s="3389"/>
      <c r="X48" s="1560"/>
      <c r="Y48" s="1582"/>
      <c r="Z48" s="1560"/>
      <c r="AA48" s="1560"/>
      <c r="AB48" s="1560"/>
      <c r="AC48" s="1560"/>
    </row>
    <row r="49" spans="1:29" ht="15.75" thickBot="1">
      <c r="A49" s="615" t="s">
        <v>2766</v>
      </c>
      <c r="B49" s="888"/>
      <c r="C49" s="2659" t="e">
        <f>R50</f>
        <v>#DIV/0!</v>
      </c>
      <c r="D49" s="2660"/>
      <c r="E49" s="2661" t="e">
        <f>R49</f>
        <v>#DIV/0!</v>
      </c>
      <c r="F49" s="2661"/>
      <c r="G49" s="2659" t="e">
        <f>T49</f>
        <v>#DIV/0!</v>
      </c>
      <c r="H49" s="2660"/>
      <c r="I49" s="2661" t="e">
        <f>V49</f>
        <v>#DIV/0!</v>
      </c>
      <c r="J49" s="2660"/>
      <c r="K49" s="1613"/>
      <c r="L49" s="2146"/>
      <c r="M49" s="2136"/>
      <c r="N49" s="2136"/>
      <c r="O49" s="2136"/>
      <c r="P49" s="3348" t="str">
        <f>A49</f>
        <v>比较价格（元/平方米）</v>
      </c>
      <c r="Q49" s="3350"/>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1560"/>
      <c r="Y49" s="1560"/>
      <c r="Z49" s="1560"/>
      <c r="AA49" s="1560"/>
      <c r="AB49" s="1560"/>
      <c r="AC49" s="1560"/>
    </row>
    <row r="50" spans="1:29" ht="15.75" thickBot="1">
      <c r="A50" s="621" t="s">
        <v>2939</v>
      </c>
      <c r="B50" s="622"/>
      <c r="C50" s="2662" t="e">
        <f>R50</f>
        <v>#DIV/0!</v>
      </c>
      <c r="D50" s="2662"/>
      <c r="E50" s="2662"/>
      <c r="F50" s="2662"/>
      <c r="G50" s="2662"/>
      <c r="H50" s="2662"/>
      <c r="I50" s="2662"/>
      <c r="J50" s="2662"/>
      <c r="K50" s="1614"/>
      <c r="L50" s="2146"/>
      <c r="M50" s="2136"/>
      <c r="N50" s="2136"/>
      <c r="O50" s="2136"/>
      <c r="P50" s="3467" t="str">
        <f>A50</f>
        <v>估价对象XX用房的比较价格（楼面单价，元/平方米）</v>
      </c>
      <c r="Q50" s="3348"/>
      <c r="R50" s="3388" t="e">
        <f>IF(F1="售价",ROUND(AVERAGE(R49:V49),0),ROUND(AVERAGE(R49:V49),1))</f>
        <v>#DIV/0!</v>
      </c>
      <c r="S50" s="3388"/>
      <c r="T50" s="3388"/>
      <c r="U50" s="3388"/>
      <c r="V50" s="3388"/>
      <c r="W50" s="338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2562</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2563</v>
      </c>
      <c r="C83" s="2624" t="s">
        <v>2564</v>
      </c>
      <c r="D83" s="2624" t="s">
        <v>2565</v>
      </c>
      <c r="E83" s="2624" t="s">
        <v>2566</v>
      </c>
      <c r="F83" s="2624" t="s">
        <v>2567</v>
      </c>
      <c r="G83" s="2624" t="s">
        <v>2568</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2561</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56" t="s">
        <v>523</v>
      </c>
      <c r="D4" s="3357"/>
      <c r="E4" s="3391" t="s">
        <v>524</v>
      </c>
      <c r="F4" s="3392"/>
      <c r="G4" s="3356" t="s">
        <v>525</v>
      </c>
      <c r="H4" s="3357"/>
      <c r="I4" s="3356" t="s">
        <v>526</v>
      </c>
      <c r="J4" s="3357"/>
      <c r="K4" s="514" t="s">
        <v>527</v>
      </c>
      <c r="L4" s="2135"/>
      <c r="M4" s="2136"/>
      <c r="N4" s="2136"/>
      <c r="O4" s="2136"/>
      <c r="P4" s="3358" t="s">
        <v>528</v>
      </c>
      <c r="Q4" s="3359"/>
      <c r="R4" s="3364" t="s">
        <v>524</v>
      </c>
      <c r="S4" s="3365"/>
      <c r="T4" s="3364" t="s">
        <v>525</v>
      </c>
      <c r="U4" s="3365"/>
      <c r="V4" s="3351" t="s">
        <v>526</v>
      </c>
      <c r="W4" s="3351"/>
      <c r="X4" s="1568"/>
      <c r="Y4" s="3364" t="s">
        <v>528</v>
      </c>
      <c r="Z4" s="3365"/>
      <c r="AA4" s="3353" t="s">
        <v>524</v>
      </c>
      <c r="AB4" s="3354" t="s">
        <v>525</v>
      </c>
      <c r="AC4" s="3353" t="s">
        <v>526</v>
      </c>
    </row>
    <row r="5" spans="1:29" ht="15">
      <c r="A5" s="515"/>
      <c r="B5" s="516"/>
      <c r="C5" s="3372" t="s">
        <v>2933</v>
      </c>
      <c r="D5" s="3373"/>
      <c r="E5" s="3397" t="s">
        <v>2934</v>
      </c>
      <c r="F5" s="3398"/>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1" t="s">
        <v>531</v>
      </c>
      <c r="Q7" s="3383"/>
      <c r="R7" s="1569" t="s">
        <v>8</v>
      </c>
      <c r="S7" s="1570">
        <f t="shared" ref="S7:S15" si="0">F7</f>
        <v>0</v>
      </c>
      <c r="T7" s="1569" t="s">
        <v>8</v>
      </c>
      <c r="U7" s="1570">
        <f t="shared" ref="U7:U15" si="1">H7</f>
        <v>0</v>
      </c>
      <c r="V7" s="1569" t="s">
        <v>8</v>
      </c>
      <c r="W7" s="1570">
        <f t="shared" ref="W7:W15"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40" si="3">D8/F8</f>
        <v>#DIV/0!</v>
      </c>
      <c r="AB8" s="1572" t="e">
        <f t="shared" ref="AB8:AB40" si="4">D8/H8</f>
        <v>#DIV/0!</v>
      </c>
      <c r="AC8" s="1572" t="e">
        <f t="shared" ref="AC8:AC40" si="5">D8/J8</f>
        <v>#DIV/0!</v>
      </c>
    </row>
    <row r="9" spans="1:29" s="1220" customFormat="1" ht="15">
      <c r="A9" s="2942"/>
      <c r="B9" s="2949" t="s">
        <v>2762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57">
      <c r="A15" s="2938"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4" t="s">
        <v>541</v>
      </c>
      <c r="Q15" s="1573" t="str">
        <f t="shared" si="6"/>
        <v>产业集聚程度</v>
      </c>
      <c r="R15" s="1574" t="s">
        <v>8</v>
      </c>
      <c r="S15" s="1575">
        <f t="shared" si="0"/>
        <v>100</v>
      </c>
      <c r="T15" s="1574" t="s">
        <v>8</v>
      </c>
      <c r="U15" s="1575">
        <f t="shared" si="1"/>
        <v>100</v>
      </c>
      <c r="V15" s="1574" t="s">
        <v>8</v>
      </c>
      <c r="W15" s="1575">
        <f t="shared" si="2"/>
        <v>100</v>
      </c>
      <c r="X15" s="1568"/>
      <c r="Y15" s="3384"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9"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617"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85"/>
      <c r="Q22" s="2605"/>
      <c r="R22" s="1574"/>
      <c r="S22" s="1575"/>
      <c r="T22" s="1574"/>
      <c r="U22" s="1575"/>
      <c r="V22" s="1574"/>
      <c r="W22" s="1575"/>
      <c r="X22" s="2607"/>
      <c r="Y22" s="3385"/>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5"/>
      <c r="Q26" s="1573">
        <f t="shared" ref="Q26:Q40" si="11">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5"/>
      <c r="Q27" s="1151">
        <f t="shared" si="11"/>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5"/>
      <c r="Q28" s="1573">
        <f t="shared" si="11"/>
        <v>111</v>
      </c>
      <c r="R28" s="1574" t="s">
        <v>8</v>
      </c>
      <c r="S28" s="1575">
        <f t="shared" ref="S28:S40" si="12">F28</f>
        <v>100</v>
      </c>
      <c r="T28" s="1574" t="s">
        <v>8</v>
      </c>
      <c r="U28" s="1575">
        <f t="shared" ref="U28:U40" si="13">H28</f>
        <v>100</v>
      </c>
      <c r="V28" s="1574" t="s">
        <v>8</v>
      </c>
      <c r="W28" s="1575">
        <f t="shared" ref="W28:W40" si="14">J28</f>
        <v>100</v>
      </c>
      <c r="X28" s="1568"/>
      <c r="Y28" s="3385"/>
      <c r="Z28" s="1576">
        <f t="shared" ref="Z28:Z40" si="15">Q28</f>
        <v>111</v>
      </c>
      <c r="AA28" s="1577">
        <f t="shared" si="3"/>
        <v>1</v>
      </c>
      <c r="AB28" s="1577">
        <f t="shared" si="4"/>
        <v>1</v>
      </c>
      <c r="AC28" s="1577">
        <f t="shared" si="5"/>
        <v>1</v>
      </c>
    </row>
    <row r="29" spans="1:29" ht="15">
      <c r="A29" s="2935"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6" t="s">
        <v>551</v>
      </c>
      <c r="Q29" s="1573" t="str">
        <f t="shared" si="11"/>
        <v>建筑类型</v>
      </c>
      <c r="R29" s="1574" t="s">
        <v>8</v>
      </c>
      <c r="S29" s="1575">
        <f t="shared" si="12"/>
        <v>100</v>
      </c>
      <c r="T29" s="1574" t="s">
        <v>8</v>
      </c>
      <c r="U29" s="1575">
        <f t="shared" si="13"/>
        <v>100</v>
      </c>
      <c r="V29" s="1574" t="s">
        <v>8</v>
      </c>
      <c r="W29" s="1575">
        <f t="shared" si="14"/>
        <v>100</v>
      </c>
      <c r="X29" s="1568"/>
      <c r="Y29" s="3387"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7"/>
      <c r="Q30" s="1606" t="str">
        <f t="shared" si="11"/>
        <v>项目建筑规模</v>
      </c>
      <c r="R30" s="1578" t="s">
        <v>8</v>
      </c>
      <c r="S30" s="1579" t="e">
        <f t="shared" si="12"/>
        <v>#N/A</v>
      </c>
      <c r="T30" s="1578" t="s">
        <v>8</v>
      </c>
      <c r="U30" s="1579" t="e">
        <f t="shared" si="13"/>
        <v>#N/A</v>
      </c>
      <c r="V30" s="1578" t="s">
        <v>8</v>
      </c>
      <c r="W30" s="1579" t="e">
        <f t="shared" si="14"/>
        <v>#N/A</v>
      </c>
      <c r="X30" s="1580"/>
      <c r="Y30" s="3387"/>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7"/>
      <c r="Q31" s="1573" t="str">
        <f t="shared" si="11"/>
        <v>建筑结构</v>
      </c>
      <c r="R31" s="1574" t="s">
        <v>8</v>
      </c>
      <c r="S31" s="1575">
        <f t="shared" si="12"/>
        <v>100</v>
      </c>
      <c r="T31" s="1574" t="s">
        <v>8</v>
      </c>
      <c r="U31" s="1575">
        <f t="shared" si="13"/>
        <v>100</v>
      </c>
      <c r="V31" s="1574" t="s">
        <v>8</v>
      </c>
      <c r="W31" s="1575">
        <f t="shared" si="14"/>
        <v>100</v>
      </c>
      <c r="X31" s="1568"/>
      <c r="Y31" s="3387"/>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7"/>
      <c r="Q32" s="1573" t="str">
        <f t="shared" si="11"/>
        <v>公共部分装修</v>
      </c>
      <c r="R32" s="1574" t="s">
        <v>8</v>
      </c>
      <c r="S32" s="1575">
        <f t="shared" si="12"/>
        <v>100</v>
      </c>
      <c r="T32" s="1574" t="s">
        <v>8</v>
      </c>
      <c r="U32" s="1575">
        <f t="shared" si="13"/>
        <v>100</v>
      </c>
      <c r="V32" s="1574" t="s">
        <v>8</v>
      </c>
      <c r="W32" s="1575">
        <f t="shared" si="14"/>
        <v>100</v>
      </c>
      <c r="X32" s="1568"/>
      <c r="Y32" s="3387"/>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7"/>
      <c r="Q33" s="1573" t="str">
        <f t="shared" si="11"/>
        <v>成新度</v>
      </c>
      <c r="R33" s="1574" t="s">
        <v>8</v>
      </c>
      <c r="S33" s="1575" t="e">
        <f t="shared" si="12"/>
        <v>#N/A</v>
      </c>
      <c r="T33" s="1574" t="s">
        <v>8</v>
      </c>
      <c r="U33" s="1575" t="e">
        <f t="shared" si="13"/>
        <v>#N/A</v>
      </c>
      <c r="V33" s="1574" t="s">
        <v>8</v>
      </c>
      <c r="W33" s="1575" t="e">
        <f t="shared" si="14"/>
        <v>#N/A</v>
      </c>
      <c r="X33" s="1568"/>
      <c r="Y33" s="3387"/>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7"/>
      <c r="Q34" s="1151" t="str">
        <f t="shared" si="11"/>
        <v>物业管理</v>
      </c>
      <c r="R34" s="1569" t="s">
        <v>8</v>
      </c>
      <c r="S34" s="1570">
        <f t="shared" si="12"/>
        <v>100</v>
      </c>
      <c r="T34" s="1569" t="s">
        <v>8</v>
      </c>
      <c r="U34" s="1570">
        <f t="shared" si="13"/>
        <v>100</v>
      </c>
      <c r="V34" s="1569" t="s">
        <v>8</v>
      </c>
      <c r="W34" s="1570">
        <f t="shared" si="14"/>
        <v>100</v>
      </c>
      <c r="X34" s="1571"/>
      <c r="Y34" s="3387"/>
      <c r="Z34" s="1150" t="str">
        <f t="shared" si="15"/>
        <v>物业管理</v>
      </c>
      <c r="AA34" s="1572">
        <f t="shared" si="3"/>
        <v>1</v>
      </c>
      <c r="AB34" s="1572">
        <f t="shared" si="4"/>
        <v>1</v>
      </c>
      <c r="AC34" s="1572">
        <f t="shared" si="5"/>
        <v>1</v>
      </c>
    </row>
    <row r="35" spans="1:29" ht="15">
      <c r="A35" s="594"/>
      <c r="B35" s="1897"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7" t="s">
        <v>551</v>
      </c>
      <c r="Q35" s="1573" t="str">
        <f t="shared" si="11"/>
        <v>市政基础设施</v>
      </c>
      <c r="R35" s="1574" t="s">
        <v>8</v>
      </c>
      <c r="S35" s="1575">
        <f t="shared" si="12"/>
        <v>100</v>
      </c>
      <c r="T35" s="1574" t="s">
        <v>8</v>
      </c>
      <c r="U35" s="1575">
        <f t="shared" si="13"/>
        <v>100</v>
      </c>
      <c r="V35" s="1574" t="s">
        <v>8</v>
      </c>
      <c r="W35" s="1575">
        <f t="shared" si="14"/>
        <v>100</v>
      </c>
      <c r="X35" s="1568"/>
      <c r="Y35" s="3387"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7"/>
      <c r="Q36" s="1573" t="str">
        <f t="shared" si="11"/>
        <v>内部装修</v>
      </c>
      <c r="R36" s="1574" t="s">
        <v>8</v>
      </c>
      <c r="S36" s="1575">
        <f t="shared" si="12"/>
        <v>100</v>
      </c>
      <c r="T36" s="1574" t="s">
        <v>8</v>
      </c>
      <c r="U36" s="1575">
        <f t="shared" si="13"/>
        <v>100</v>
      </c>
      <c r="V36" s="1574" t="s">
        <v>8</v>
      </c>
      <c r="W36" s="1575">
        <f t="shared" si="14"/>
        <v>100</v>
      </c>
      <c r="X36" s="1568"/>
      <c r="Y36" s="3387"/>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7"/>
      <c r="Q37" s="1573" t="str">
        <f t="shared" si="11"/>
        <v>内部装修状况</v>
      </c>
      <c r="R37" s="1574" t="s">
        <v>8</v>
      </c>
      <c r="S37" s="1575">
        <f t="shared" si="12"/>
        <v>100</v>
      </c>
      <c r="T37" s="1574" t="s">
        <v>8</v>
      </c>
      <c r="U37" s="1575">
        <f t="shared" si="13"/>
        <v>100</v>
      </c>
      <c r="V37" s="1574" t="s">
        <v>8</v>
      </c>
      <c r="W37" s="1575">
        <f t="shared" si="14"/>
        <v>100</v>
      </c>
      <c r="X37" s="1568"/>
      <c r="Y37" s="33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7"/>
      <c r="Q38" s="1606">
        <f t="shared" si="11"/>
        <v>111</v>
      </c>
      <c r="R38" s="1578" t="s">
        <v>8</v>
      </c>
      <c r="S38" s="1579">
        <f t="shared" si="12"/>
        <v>100</v>
      </c>
      <c r="T38" s="1578" t="s">
        <v>8</v>
      </c>
      <c r="U38" s="1579">
        <f t="shared" si="13"/>
        <v>100</v>
      </c>
      <c r="V38" s="1578" t="s">
        <v>8</v>
      </c>
      <c r="W38" s="1579">
        <f t="shared" si="14"/>
        <v>100</v>
      </c>
      <c r="X38" s="1580"/>
      <c r="Y38" s="33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7"/>
      <c r="Q39" s="1573">
        <f t="shared" si="11"/>
        <v>111</v>
      </c>
      <c r="R39" s="1574" t="s">
        <v>8</v>
      </c>
      <c r="S39" s="1575">
        <f t="shared" si="12"/>
        <v>100</v>
      </c>
      <c r="T39" s="1574" t="s">
        <v>8</v>
      </c>
      <c r="U39" s="1575">
        <f t="shared" si="13"/>
        <v>100</v>
      </c>
      <c r="V39" s="1574" t="s">
        <v>8</v>
      </c>
      <c r="W39" s="1575">
        <f t="shared" si="14"/>
        <v>100</v>
      </c>
      <c r="X39" s="1568"/>
      <c r="Y39" s="338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390"/>
      <c r="Q40" s="1573">
        <f t="shared" si="11"/>
        <v>111</v>
      </c>
      <c r="R40" s="1574" t="s">
        <v>8</v>
      </c>
      <c r="S40" s="1575">
        <f t="shared" si="12"/>
        <v>100</v>
      </c>
      <c r="T40" s="1574" t="s">
        <v>8</v>
      </c>
      <c r="U40" s="1575">
        <f t="shared" si="13"/>
        <v>100</v>
      </c>
      <c r="V40" s="1574" t="s">
        <v>8</v>
      </c>
      <c r="W40" s="1575">
        <f t="shared" si="14"/>
        <v>100</v>
      </c>
      <c r="X40" s="1568"/>
      <c r="Y40" s="3390"/>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50" t="str">
        <f>A41</f>
        <v>成交单价（元/平方米）</v>
      </c>
      <c r="Q41" s="3350"/>
      <c r="R41" s="3389">
        <f>E41</f>
        <v>0</v>
      </c>
      <c r="S41" s="3389"/>
      <c r="T41" s="3389">
        <f>G41</f>
        <v>0</v>
      </c>
      <c r="U41" s="3389"/>
      <c r="V41" s="3389">
        <f>I41</f>
        <v>0</v>
      </c>
      <c r="W41" s="3389"/>
      <c r="X41" s="1560"/>
      <c r="Y41" s="1582"/>
      <c r="Z41" s="1560"/>
      <c r="AA41" s="1560"/>
      <c r="AB41" s="1560"/>
      <c r="AC41" s="1560"/>
    </row>
    <row r="42" spans="1:29" ht="15.75" thickBot="1">
      <c r="A42" s="615" t="s">
        <v>2766</v>
      </c>
      <c r="B42" s="888"/>
      <c r="C42" s="2659" t="e">
        <f>R43</f>
        <v>#DIV/0!</v>
      </c>
      <c r="D42" s="2660"/>
      <c r="E42" s="2661" t="e">
        <f>R42</f>
        <v>#DIV/0!</v>
      </c>
      <c r="F42" s="2661"/>
      <c r="G42" s="2659" t="e">
        <f>T42</f>
        <v>#DIV/0!</v>
      </c>
      <c r="H42" s="2660"/>
      <c r="I42" s="2661" t="e">
        <f>V42</f>
        <v>#DIV/0!</v>
      </c>
      <c r="J42" s="2660"/>
      <c r="K42" s="1613"/>
      <c r="L42" s="2146"/>
      <c r="M42" s="2147"/>
      <c r="N42" s="2136"/>
      <c r="O42" s="2147"/>
      <c r="P42" s="3350" t="str">
        <f>A42</f>
        <v>比较价格（元/平方米）</v>
      </c>
      <c r="Q42" s="3350"/>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1560"/>
      <c r="Y42" s="1560"/>
      <c r="Z42" s="1560"/>
      <c r="AA42" s="1560"/>
      <c r="AB42" s="1560"/>
      <c r="AC42" s="1560"/>
    </row>
    <row r="43" spans="1:29" ht="15.75" thickBot="1">
      <c r="A43" s="621" t="s">
        <v>2939</v>
      </c>
      <c r="B43" s="622"/>
      <c r="C43" s="2662" t="e">
        <f>R43</f>
        <v>#DIV/0!</v>
      </c>
      <c r="D43" s="2662"/>
      <c r="E43" s="2662"/>
      <c r="F43" s="2662"/>
      <c r="G43" s="2662"/>
      <c r="H43" s="2662"/>
      <c r="I43" s="2662"/>
      <c r="J43" s="2662"/>
      <c r="K43" s="1614"/>
      <c r="L43" s="2146"/>
      <c r="M43" s="2147"/>
      <c r="N43" s="2147"/>
      <c r="O43" s="2147"/>
      <c r="P43" s="3347" t="str">
        <f>A43</f>
        <v>估价对象XX用房的比较价格（楼面单价，元/平方米）</v>
      </c>
      <c r="Q43" s="3348"/>
      <c r="R43" s="3388" t="e">
        <f>IF(F1="售价",ROUND(AVERAGE(R42:V42),0),ROUND(AVERAGE(R42:V42),1))</f>
        <v>#DIV/0!</v>
      </c>
      <c r="S43" s="3388"/>
      <c r="T43" s="3388"/>
      <c r="U43" s="3388"/>
      <c r="V43" s="3388"/>
      <c r="W43" s="338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2562</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2563</v>
      </c>
      <c r="C76" s="2624" t="s">
        <v>2564</v>
      </c>
      <c r="D76" s="2624" t="s">
        <v>2565</v>
      </c>
      <c r="E76" s="2624" t="s">
        <v>2566</v>
      </c>
      <c r="F76" s="2624" t="s">
        <v>2567</v>
      </c>
      <c r="G76" s="2624" t="s">
        <v>2568</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2561</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56" t="s">
        <v>799</v>
      </c>
      <c r="D4" s="3357"/>
      <c r="E4" s="3356" t="s">
        <v>800</v>
      </c>
      <c r="F4" s="3357"/>
      <c r="G4" s="3356" t="s">
        <v>801</v>
      </c>
      <c r="H4" s="3357"/>
      <c r="I4" s="3356" t="s">
        <v>802</v>
      </c>
      <c r="J4" s="3357"/>
      <c r="K4" s="514" t="s">
        <v>803</v>
      </c>
      <c r="L4" s="2135"/>
      <c r="M4" s="2136"/>
      <c r="N4" s="2136"/>
      <c r="O4" s="2136"/>
      <c r="P4" s="3358" t="s">
        <v>804</v>
      </c>
      <c r="Q4" s="3359"/>
      <c r="R4" s="3364" t="s">
        <v>800</v>
      </c>
      <c r="S4" s="3365"/>
      <c r="T4" s="3364" t="s">
        <v>801</v>
      </c>
      <c r="U4" s="3365"/>
      <c r="V4" s="3351" t="s">
        <v>802</v>
      </c>
      <c r="W4" s="3351"/>
      <c r="X4" s="1568"/>
      <c r="Y4" s="3364" t="s">
        <v>804</v>
      </c>
      <c r="Z4" s="3365"/>
      <c r="AA4" s="3353" t="s">
        <v>800</v>
      </c>
      <c r="AB4" s="3354" t="s">
        <v>801</v>
      </c>
      <c r="AC4" s="3353" t="s">
        <v>802</v>
      </c>
    </row>
    <row r="5" spans="1:29" ht="15">
      <c r="A5" s="515"/>
      <c r="B5" s="516"/>
      <c r="C5" s="3372" t="s">
        <v>2933</v>
      </c>
      <c r="D5" s="3373"/>
      <c r="E5" s="3372" t="s">
        <v>2934</v>
      </c>
      <c r="F5" s="3373"/>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74" t="s">
        <v>2937</v>
      </c>
      <c r="F6" s="3375"/>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1" t="s">
        <v>531</v>
      </c>
      <c r="Q7" s="3383"/>
      <c r="R7" s="1569" t="s">
        <v>8</v>
      </c>
      <c r="S7" s="1570">
        <f t="shared" ref="S7:S14" si="0">F7</f>
        <v>0</v>
      </c>
      <c r="T7" s="1569" t="s">
        <v>8</v>
      </c>
      <c r="U7" s="1570">
        <f t="shared" ref="U7:U14" si="1">H7</f>
        <v>0</v>
      </c>
      <c r="V7" s="1569" t="s">
        <v>8</v>
      </c>
      <c r="W7" s="1570">
        <f t="shared" ref="W7:W14"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36" si="3">D8/F8</f>
        <v>#DIV/0!</v>
      </c>
      <c r="AB8" s="1572" t="e">
        <f t="shared" ref="AB8:AB36" si="4">D8/H8</f>
        <v>#DIV/0!</v>
      </c>
      <c r="AC8" s="1572" t="e">
        <f t="shared" ref="AC8:AC36" si="5">D8/J8</f>
        <v>#DIV/0!</v>
      </c>
    </row>
    <row r="9" spans="1:29" s="1220" customFormat="1" ht="15">
      <c r="A9" s="2942"/>
      <c r="B9" s="2949" t="s">
        <v>2762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0" t="s">
        <v>536</v>
      </c>
      <c r="Q9" s="1151" t="str">
        <f t="shared" ref="Q9:Q14" si="6">B9</f>
        <v>用途</v>
      </c>
      <c r="R9" s="1569" t="s">
        <v>8</v>
      </c>
      <c r="S9" s="1570">
        <f t="shared" si="0"/>
        <v>100</v>
      </c>
      <c r="T9" s="1569" t="s">
        <v>8</v>
      </c>
      <c r="U9" s="1570">
        <f t="shared" si="1"/>
        <v>100</v>
      </c>
      <c r="V9" s="1569" t="s">
        <v>8</v>
      </c>
      <c r="W9" s="1570">
        <f t="shared" si="2"/>
        <v>100</v>
      </c>
      <c r="X9" s="1571"/>
      <c r="Y9" s="3296"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99.75">
      <c r="A14" s="2938" t="s">
        <v>2760</v>
      </c>
      <c r="B14" s="547" t="s">
        <v>544</v>
      </c>
      <c r="C14" s="921" t="str">
        <f>IF(B1="工业",估价对象房地状况!G4,估价对象房地状况!C6)</f>
        <v>估价对象临沪瑞线，周边道路通达状况一般、附近公共交通较少，停车较便捷，综合评价交通便捷度一般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4" t="s">
        <v>541</v>
      </c>
      <c r="Q14" s="1573" t="str">
        <f t="shared" si="6"/>
        <v>交通便捷度</v>
      </c>
      <c r="R14" s="1574" t="s">
        <v>8</v>
      </c>
      <c r="S14" s="1575">
        <f t="shared" si="0"/>
        <v>100</v>
      </c>
      <c r="T14" s="1574" t="s">
        <v>8</v>
      </c>
      <c r="U14" s="1575">
        <f t="shared" si="1"/>
        <v>100</v>
      </c>
      <c r="V14" s="1574" t="s">
        <v>8</v>
      </c>
      <c r="W14" s="1575">
        <f t="shared" si="2"/>
        <v>100</v>
      </c>
      <c r="X14" s="1568"/>
      <c r="Y14" s="3384"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15"/>
      <c r="B16" s="2629" t="s">
        <v>2551</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42.75">
      <c r="A18" s="515"/>
      <c r="B18" s="2617" t="s">
        <v>2563</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5"/>
      <c r="Q18" s="2605" t="str">
        <f>B18</f>
        <v>基础设施水平</v>
      </c>
      <c r="R18" s="1574" t="s">
        <v>8</v>
      </c>
      <c r="S18" s="1575">
        <f>F18</f>
        <v>100</v>
      </c>
      <c r="T18" s="1574" t="s">
        <v>8</v>
      </c>
      <c r="U18" s="1575">
        <f>H18</f>
        <v>100</v>
      </c>
      <c r="V18" s="1574" t="s">
        <v>8</v>
      </c>
      <c r="W18" s="1575">
        <f>J18</f>
        <v>100</v>
      </c>
      <c r="X18" s="2607"/>
      <c r="Y18" s="3385"/>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85"/>
      <c r="Q19" s="2605"/>
      <c r="R19" s="1574"/>
      <c r="S19" s="1575"/>
      <c r="T19" s="1574"/>
      <c r="U19" s="1575"/>
      <c r="V19" s="1574"/>
      <c r="W19" s="1575"/>
      <c r="X19" s="2607"/>
      <c r="Y19" s="3385"/>
      <c r="Z19" s="2606"/>
      <c r="AA19" s="1577">
        <v>1</v>
      </c>
      <c r="AB19" s="1577">
        <v>1</v>
      </c>
      <c r="AC19" s="1577">
        <v>1</v>
      </c>
    </row>
    <row r="20" spans="1:29" ht="57">
      <c r="A20" s="515"/>
      <c r="B20" s="560" t="s">
        <v>805</v>
      </c>
      <c r="C20" s="872" t="str">
        <f>IF(B1="工业",估价对象房地状况!G7,估价对象房地状况!C9)</f>
        <v>区域自然环境好；人文环境一般；综合评价环境状况较好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5"/>
      <c r="Q24" s="1573">
        <f t="shared" ref="Q24:Q36"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35"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6"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7"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7"/>
      <c r="Q27" s="1606" t="str">
        <f t="shared" si="11"/>
        <v>项目停车位配比</v>
      </c>
      <c r="R27" s="1578" t="s">
        <v>8</v>
      </c>
      <c r="S27" s="1579">
        <f t="shared" si="12"/>
        <v>100</v>
      </c>
      <c r="T27" s="1578" t="s">
        <v>8</v>
      </c>
      <c r="U27" s="1579">
        <f t="shared" si="13"/>
        <v>100</v>
      </c>
      <c r="V27" s="1578" t="s">
        <v>8</v>
      </c>
      <c r="W27" s="1579">
        <f t="shared" si="14"/>
        <v>100</v>
      </c>
      <c r="X27" s="1580"/>
      <c r="Y27" s="3387"/>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7"/>
      <c r="Q28" s="1573" t="str">
        <f t="shared" si="11"/>
        <v>公共部分装修</v>
      </c>
      <c r="R28" s="1574" t="s">
        <v>8</v>
      </c>
      <c r="S28" s="1575">
        <f t="shared" si="12"/>
        <v>100</v>
      </c>
      <c r="T28" s="1574" t="s">
        <v>8</v>
      </c>
      <c r="U28" s="1575">
        <f t="shared" si="13"/>
        <v>100</v>
      </c>
      <c r="V28" s="1574" t="s">
        <v>8</v>
      </c>
      <c r="W28" s="1575">
        <f t="shared" si="14"/>
        <v>100</v>
      </c>
      <c r="X28" s="1568"/>
      <c r="Y28" s="3387"/>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7"/>
      <c r="Q29" s="1573" t="str">
        <f t="shared" si="11"/>
        <v>成新率</v>
      </c>
      <c r="R29" s="1574" t="s">
        <v>8</v>
      </c>
      <c r="S29" s="1575" t="e">
        <f t="shared" si="12"/>
        <v>#N/A</v>
      </c>
      <c r="T29" s="1574" t="s">
        <v>8</v>
      </c>
      <c r="U29" s="1575" t="e">
        <f t="shared" si="13"/>
        <v>#N/A</v>
      </c>
      <c r="V29" s="1574" t="s">
        <v>8</v>
      </c>
      <c r="W29" s="1575" t="e">
        <f t="shared" si="14"/>
        <v>#N/A</v>
      </c>
      <c r="X29" s="1568"/>
      <c r="Y29" s="3387"/>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7"/>
      <c r="Q30" s="1573" t="str">
        <f t="shared" si="11"/>
        <v>物业等级</v>
      </c>
      <c r="R30" s="1574" t="s">
        <v>8</v>
      </c>
      <c r="S30" s="1575">
        <f t="shared" si="12"/>
        <v>100</v>
      </c>
      <c r="T30" s="1574" t="s">
        <v>8</v>
      </c>
      <c r="U30" s="1575">
        <f t="shared" si="13"/>
        <v>100</v>
      </c>
      <c r="V30" s="1574" t="s">
        <v>8</v>
      </c>
      <c r="W30" s="1575">
        <f t="shared" si="14"/>
        <v>100</v>
      </c>
      <c r="X30" s="1568"/>
      <c r="Y30" s="3387"/>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7"/>
      <c r="Q31" s="1151" t="str">
        <f t="shared" si="11"/>
        <v>停车位面积</v>
      </c>
      <c r="R31" s="1569" t="s">
        <v>8</v>
      </c>
      <c r="S31" s="1570" t="e">
        <f t="shared" si="12"/>
        <v>#N/A</v>
      </c>
      <c r="T31" s="1569" t="s">
        <v>8</v>
      </c>
      <c r="U31" s="1570" t="e">
        <f t="shared" si="13"/>
        <v>#N/A</v>
      </c>
      <c r="V31" s="1569" t="s">
        <v>8</v>
      </c>
      <c r="W31" s="1570" t="e">
        <f t="shared" si="14"/>
        <v>#N/A</v>
      </c>
      <c r="X31" s="1571"/>
      <c r="Y31" s="3387"/>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7" t="s">
        <v>551</v>
      </c>
      <c r="Q32" s="1573" t="str">
        <f t="shared" si="11"/>
        <v>车位类型</v>
      </c>
      <c r="R32" s="1574" t="s">
        <v>8</v>
      </c>
      <c r="S32" s="1575">
        <f t="shared" si="12"/>
        <v>100</v>
      </c>
      <c r="T32" s="1574" t="s">
        <v>8</v>
      </c>
      <c r="U32" s="1575">
        <f t="shared" si="13"/>
        <v>100</v>
      </c>
      <c r="V32" s="1574" t="s">
        <v>8</v>
      </c>
      <c r="W32" s="1575">
        <f t="shared" si="14"/>
        <v>100</v>
      </c>
      <c r="X32" s="1568"/>
      <c r="Y32" s="3387"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7"/>
      <c r="Q33" s="1573" t="str">
        <f t="shared" si="11"/>
        <v>是否直接入户</v>
      </c>
      <c r="R33" s="1574" t="s">
        <v>8</v>
      </c>
      <c r="S33" s="1575">
        <f t="shared" si="12"/>
        <v>100</v>
      </c>
      <c r="T33" s="1574" t="s">
        <v>8</v>
      </c>
      <c r="U33" s="1575">
        <f t="shared" si="13"/>
        <v>100</v>
      </c>
      <c r="V33" s="1574" t="s">
        <v>8</v>
      </c>
      <c r="W33" s="1575">
        <f t="shared" si="14"/>
        <v>100</v>
      </c>
      <c r="X33" s="1568"/>
      <c r="Y33" s="33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7"/>
      <c r="Q35" s="1606">
        <f t="shared" si="11"/>
        <v>111</v>
      </c>
      <c r="R35" s="1578" t="s">
        <v>8</v>
      </c>
      <c r="S35" s="1579">
        <f t="shared" si="12"/>
        <v>100</v>
      </c>
      <c r="T35" s="1578" t="s">
        <v>8</v>
      </c>
      <c r="U35" s="1579">
        <f t="shared" si="13"/>
        <v>100</v>
      </c>
      <c r="V35" s="1578" t="s">
        <v>8</v>
      </c>
      <c r="W35" s="1579">
        <f t="shared" si="14"/>
        <v>100</v>
      </c>
      <c r="X35" s="1580"/>
      <c r="Y35" s="338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7"/>
      <c r="Q36" s="1573">
        <f t="shared" si="11"/>
        <v>111</v>
      </c>
      <c r="R36" s="1574" t="s">
        <v>8</v>
      </c>
      <c r="S36" s="1575">
        <f t="shared" si="12"/>
        <v>100</v>
      </c>
      <c r="T36" s="1574" t="s">
        <v>8</v>
      </c>
      <c r="U36" s="1575">
        <f t="shared" si="13"/>
        <v>100</v>
      </c>
      <c r="V36" s="1574" t="s">
        <v>8</v>
      </c>
      <c r="W36" s="1575">
        <f t="shared" si="14"/>
        <v>100</v>
      </c>
      <c r="X36" s="1568"/>
      <c r="Y36" s="3387"/>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3350" t="str">
        <f>A37</f>
        <v>成交单价</v>
      </c>
      <c r="Q37" s="3350"/>
      <c r="R37" s="3389">
        <f>E37</f>
        <v>0</v>
      </c>
      <c r="S37" s="3389"/>
      <c r="T37" s="3389">
        <f>G37</f>
        <v>0</v>
      </c>
      <c r="U37" s="3389"/>
      <c r="V37" s="3389">
        <f>I37</f>
        <v>0</v>
      </c>
      <c r="W37" s="3389"/>
      <c r="X37" s="1560"/>
      <c r="Y37" s="1582"/>
      <c r="Z37" s="1560"/>
      <c r="AA37" s="1560"/>
      <c r="AB37" s="1560"/>
      <c r="AC37" s="1560"/>
    </row>
    <row r="38" spans="1:29" ht="15.75" thickBot="1">
      <c r="A38" s="615" t="s">
        <v>2766</v>
      </c>
      <c r="B38" s="888"/>
      <c r="C38" s="2659" t="e">
        <f>R39</f>
        <v>#DIV/0!</v>
      </c>
      <c r="D38" s="2660"/>
      <c r="E38" s="2661" t="e">
        <f>R38</f>
        <v>#DIV/0!</v>
      </c>
      <c r="F38" s="2661"/>
      <c r="G38" s="2659" t="e">
        <f>T38</f>
        <v>#DIV/0!</v>
      </c>
      <c r="H38" s="2660"/>
      <c r="I38" s="2661" t="e">
        <f>V38</f>
        <v>#DIV/0!</v>
      </c>
      <c r="J38" s="2660"/>
      <c r="K38" s="1613"/>
      <c r="L38" s="2146"/>
      <c r="M38" s="2147"/>
      <c r="N38" s="2147"/>
      <c r="O38" s="2147"/>
      <c r="P38" s="3350" t="str">
        <f>A38</f>
        <v>比较价格（元/平方米）</v>
      </c>
      <c r="Q38" s="3350"/>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1560"/>
      <c r="Y38" s="1560"/>
      <c r="Z38" s="1560"/>
      <c r="AA38" s="1560"/>
      <c r="AB38" s="1560"/>
      <c r="AC38" s="1560"/>
    </row>
    <row r="39" spans="1:29" ht="15.75" thickBot="1">
      <c r="A39" s="621" t="s">
        <v>2939</v>
      </c>
      <c r="B39" s="622"/>
      <c r="C39" s="2662" t="e">
        <f>R39</f>
        <v>#DIV/0!</v>
      </c>
      <c r="D39" s="2662"/>
      <c r="E39" s="2662"/>
      <c r="F39" s="2662"/>
      <c r="G39" s="2662"/>
      <c r="H39" s="2662"/>
      <c r="I39" s="2662"/>
      <c r="J39" s="2662"/>
      <c r="K39" s="1614"/>
      <c r="L39" s="2146"/>
      <c r="M39" s="2147"/>
      <c r="N39" s="2147"/>
      <c r="O39" s="2147"/>
      <c r="P39" s="3347" t="str">
        <f>A39</f>
        <v>估价对象XX用房的比较价格（楼面单价，元/平方米）</v>
      </c>
      <c r="Q39" s="3348"/>
      <c r="R39" s="3388" t="e">
        <f>IF(F1="售价",ROUND(AVERAGE(R38:V38),0),ROUND(AVERAGE(R38:V38),1))</f>
        <v>#DIV/0!</v>
      </c>
      <c r="S39" s="3388"/>
      <c r="T39" s="3388"/>
      <c r="U39" s="3388"/>
      <c r="V39" s="3388"/>
      <c r="W39" s="338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2562</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2563</v>
      </c>
      <c r="C67" s="2624" t="s">
        <v>2564</v>
      </c>
      <c r="D67" s="2624" t="s">
        <v>2565</v>
      </c>
      <c r="E67" s="2624" t="s">
        <v>2566</v>
      </c>
      <c r="F67" s="2624" t="s">
        <v>2567</v>
      </c>
      <c r="G67" s="2624" t="s">
        <v>2568</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56" t="s">
        <v>799</v>
      </c>
      <c r="D4" s="3357"/>
      <c r="E4" s="3391" t="s">
        <v>800</v>
      </c>
      <c r="F4" s="3392"/>
      <c r="G4" s="3356" t="s">
        <v>801</v>
      </c>
      <c r="H4" s="3357"/>
      <c r="I4" s="3356" t="s">
        <v>802</v>
      </c>
      <c r="J4" s="3357"/>
      <c r="K4" s="514" t="s">
        <v>803</v>
      </c>
      <c r="L4" s="2135"/>
      <c r="M4" s="2136"/>
      <c r="N4" s="2136"/>
      <c r="O4" s="2136"/>
      <c r="P4" s="3358" t="s">
        <v>804</v>
      </c>
      <c r="Q4" s="3359"/>
      <c r="R4" s="3364" t="s">
        <v>800</v>
      </c>
      <c r="S4" s="3365"/>
      <c r="T4" s="3364" t="s">
        <v>801</v>
      </c>
      <c r="U4" s="3365"/>
      <c r="V4" s="3351" t="s">
        <v>802</v>
      </c>
      <c r="W4" s="3351"/>
      <c r="X4" s="1568"/>
      <c r="Y4" s="3364" t="s">
        <v>804</v>
      </c>
      <c r="Z4" s="3365"/>
      <c r="AA4" s="3353" t="s">
        <v>800</v>
      </c>
      <c r="AB4" s="3354" t="s">
        <v>801</v>
      </c>
      <c r="AC4" s="3353" t="s">
        <v>802</v>
      </c>
    </row>
    <row r="5" spans="1:29" ht="15">
      <c r="A5" s="515"/>
      <c r="B5" s="516"/>
      <c r="C5" s="3372" t="s">
        <v>2933</v>
      </c>
      <c r="D5" s="3373"/>
      <c r="E5" s="3397" t="s">
        <v>2934</v>
      </c>
      <c r="F5" s="3398"/>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1" t="s">
        <v>531</v>
      </c>
      <c r="Q7" s="3383"/>
      <c r="R7" s="1569" t="s">
        <v>8</v>
      </c>
      <c r="S7" s="1570">
        <f t="shared" ref="S7:S14" si="0">F7</f>
        <v>0</v>
      </c>
      <c r="T7" s="1569" t="s">
        <v>8</v>
      </c>
      <c r="U7" s="1570">
        <f t="shared" ref="U7:U14" si="1">H7</f>
        <v>0</v>
      </c>
      <c r="V7" s="1569" t="s">
        <v>8</v>
      </c>
      <c r="W7" s="1570">
        <f t="shared" ref="W7:W14"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34" si="3">D8/F8</f>
        <v>#DIV/0!</v>
      </c>
      <c r="AB8" s="1572" t="e">
        <f t="shared" ref="AB8:AB34" si="4">D8/H8</f>
        <v>#DIV/0!</v>
      </c>
      <c r="AC8" s="1572" t="e">
        <f t="shared" ref="AC8:AC34" si="5">D8/J8</f>
        <v>#DIV/0!</v>
      </c>
    </row>
    <row r="9" spans="1:29" s="1220" customFormat="1" ht="15">
      <c r="A9" s="2942"/>
      <c r="B9" s="2949" t="s">
        <v>2762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0" t="s">
        <v>536</v>
      </c>
      <c r="Q9" s="1151" t="str">
        <f t="shared" ref="Q9:Q14" si="6">B9</f>
        <v>用途</v>
      </c>
      <c r="R9" s="1569" t="s">
        <v>8</v>
      </c>
      <c r="S9" s="1570">
        <f t="shared" si="0"/>
        <v>100</v>
      </c>
      <c r="T9" s="1569" t="s">
        <v>8</v>
      </c>
      <c r="U9" s="1570">
        <f t="shared" si="1"/>
        <v>100</v>
      </c>
      <c r="V9" s="1569" t="s">
        <v>8</v>
      </c>
      <c r="W9" s="1570">
        <f t="shared" si="2"/>
        <v>100</v>
      </c>
      <c r="X9" s="1571"/>
      <c r="Y9" s="3296"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99.75">
      <c r="A14" s="2938" t="s">
        <v>2760</v>
      </c>
      <c r="B14" s="166" t="s">
        <v>544</v>
      </c>
      <c r="C14" s="921" t="str">
        <f>IF(B1="工业",估价对象房地状况!G4,估价对象房地状况!C6)</f>
        <v>估价对象临沪瑞线，周边道路通达状况一般、附近公共交通较少，停车较便捷，综合评价交通便捷度一般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4" t="s">
        <v>541</v>
      </c>
      <c r="Q14" s="1573" t="str">
        <f t="shared" si="6"/>
        <v>交通便捷度</v>
      </c>
      <c r="R14" s="1574" t="s">
        <v>8</v>
      </c>
      <c r="S14" s="1575">
        <f t="shared" si="0"/>
        <v>100</v>
      </c>
      <c r="T14" s="1574" t="s">
        <v>8</v>
      </c>
      <c r="U14" s="1575">
        <f t="shared" si="1"/>
        <v>100</v>
      </c>
      <c r="V14" s="1574" t="s">
        <v>8</v>
      </c>
      <c r="W14" s="1575">
        <f t="shared" si="2"/>
        <v>100</v>
      </c>
      <c r="X14" s="1568"/>
      <c r="Y14" s="3384"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32"/>
      <c r="B16" s="2629" t="s">
        <v>2551</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42.75">
      <c r="A18" s="532"/>
      <c r="B18" s="2617" t="s">
        <v>2563</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5"/>
      <c r="Q18" s="2605" t="str">
        <f>B18</f>
        <v>基础设施水平</v>
      </c>
      <c r="R18" s="1574" t="s">
        <v>8</v>
      </c>
      <c r="S18" s="1575">
        <f>F18</f>
        <v>100</v>
      </c>
      <c r="T18" s="1574" t="s">
        <v>8</v>
      </c>
      <c r="U18" s="1575">
        <f>H18</f>
        <v>100</v>
      </c>
      <c r="V18" s="1574" t="s">
        <v>8</v>
      </c>
      <c r="W18" s="1575">
        <f>J18</f>
        <v>100</v>
      </c>
      <c r="X18" s="2607"/>
      <c r="Y18" s="3385"/>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85"/>
      <c r="Q19" s="2605"/>
      <c r="R19" s="1574"/>
      <c r="S19" s="1575"/>
      <c r="T19" s="1574"/>
      <c r="U19" s="1575"/>
      <c r="V19" s="1574"/>
      <c r="W19" s="1575"/>
      <c r="X19" s="2607"/>
      <c r="Y19" s="3385"/>
      <c r="Z19" s="2606"/>
      <c r="AA19" s="1577">
        <v>1</v>
      </c>
      <c r="AB19" s="1577">
        <v>1</v>
      </c>
      <c r="AC19" s="1577">
        <v>1</v>
      </c>
    </row>
    <row r="20" spans="1:29" ht="57">
      <c r="A20" s="532"/>
      <c r="B20" s="871" t="s">
        <v>805</v>
      </c>
      <c r="C20" s="872" t="str">
        <f>IF(B1="工业",估价对象房地状况!G7,估价对象房地状况!C9)</f>
        <v>区域自然环境好；人文环境一般；综合评价环境状况较好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5"/>
      <c r="Q24" s="1573">
        <f t="shared" ref="Q24:Q34"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35"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6"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7"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7"/>
      <c r="Q27" s="1606" t="str">
        <f t="shared" si="11"/>
        <v>成新率</v>
      </c>
      <c r="R27" s="1578" t="s">
        <v>8</v>
      </c>
      <c r="S27" s="1579" t="e">
        <f t="shared" si="12"/>
        <v>#N/A</v>
      </c>
      <c r="T27" s="1578" t="s">
        <v>8</v>
      </c>
      <c r="U27" s="1579" t="e">
        <f t="shared" si="13"/>
        <v>#N/A</v>
      </c>
      <c r="V27" s="1578" t="s">
        <v>8</v>
      </c>
      <c r="W27" s="1579" t="e">
        <f t="shared" si="14"/>
        <v>#N/A</v>
      </c>
      <c r="X27" s="1580"/>
      <c r="Y27" s="3387"/>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7"/>
      <c r="Q28" s="1573" t="str">
        <f t="shared" si="11"/>
        <v>物业等级</v>
      </c>
      <c r="R28" s="1574" t="s">
        <v>8</v>
      </c>
      <c r="S28" s="1575">
        <f t="shared" si="12"/>
        <v>100</v>
      </c>
      <c r="T28" s="1574" t="s">
        <v>8</v>
      </c>
      <c r="U28" s="1575">
        <f t="shared" si="13"/>
        <v>100</v>
      </c>
      <c r="V28" s="1574" t="s">
        <v>8</v>
      </c>
      <c r="W28" s="1575">
        <f t="shared" si="14"/>
        <v>100</v>
      </c>
      <c r="X28" s="1568"/>
      <c r="Y28" s="3387"/>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7"/>
      <c r="Q29" s="1573" t="str">
        <f t="shared" si="11"/>
        <v>有无电梯</v>
      </c>
      <c r="R29" s="1574" t="s">
        <v>8</v>
      </c>
      <c r="S29" s="1575">
        <f t="shared" si="12"/>
        <v>100</v>
      </c>
      <c r="T29" s="1574" t="s">
        <v>8</v>
      </c>
      <c r="U29" s="1575">
        <f t="shared" si="13"/>
        <v>100</v>
      </c>
      <c r="V29" s="1574" t="s">
        <v>8</v>
      </c>
      <c r="W29" s="1575">
        <f t="shared" si="14"/>
        <v>100</v>
      </c>
      <c r="X29" s="1568"/>
      <c r="Y29" s="3387"/>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7"/>
      <c r="Q30" s="1573" t="str">
        <f t="shared" si="11"/>
        <v>建筑面积</v>
      </c>
      <c r="R30" s="1574" t="s">
        <v>8</v>
      </c>
      <c r="S30" s="1575" t="e">
        <f t="shared" si="12"/>
        <v>#N/A</v>
      </c>
      <c r="T30" s="1574" t="s">
        <v>8</v>
      </c>
      <c r="U30" s="1575" t="e">
        <f t="shared" si="13"/>
        <v>#N/A</v>
      </c>
      <c r="V30" s="1574" t="s">
        <v>8</v>
      </c>
      <c r="W30" s="1575" t="e">
        <f t="shared" si="14"/>
        <v>#N/A</v>
      </c>
      <c r="X30" s="1568"/>
      <c r="Y30" s="3387"/>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7"/>
      <c r="Q31" s="1151" t="str">
        <f t="shared" si="11"/>
        <v>是否封闭</v>
      </c>
      <c r="R31" s="1569" t="s">
        <v>8</v>
      </c>
      <c r="S31" s="1570">
        <f t="shared" si="12"/>
        <v>100</v>
      </c>
      <c r="T31" s="1569" t="s">
        <v>8</v>
      </c>
      <c r="U31" s="1570">
        <f t="shared" si="13"/>
        <v>100</v>
      </c>
      <c r="V31" s="1569" t="s">
        <v>8</v>
      </c>
      <c r="W31" s="1570">
        <f t="shared" si="14"/>
        <v>100</v>
      </c>
      <c r="X31" s="1571"/>
      <c r="Y31" s="33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7" t="s">
        <v>551</v>
      </c>
      <c r="Q32" s="1573">
        <f t="shared" si="11"/>
        <v>111</v>
      </c>
      <c r="R32" s="1574" t="s">
        <v>8</v>
      </c>
      <c r="S32" s="1575">
        <f t="shared" si="12"/>
        <v>100</v>
      </c>
      <c r="T32" s="1574" t="s">
        <v>8</v>
      </c>
      <c r="U32" s="1575">
        <f t="shared" si="13"/>
        <v>100</v>
      </c>
      <c r="V32" s="1574" t="s">
        <v>8</v>
      </c>
      <c r="W32" s="1575">
        <f t="shared" si="14"/>
        <v>100</v>
      </c>
      <c r="X32" s="1568"/>
      <c r="Y32" s="3387"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7"/>
      <c r="Q33" s="1573">
        <f t="shared" si="11"/>
        <v>111</v>
      </c>
      <c r="R33" s="1574" t="s">
        <v>8</v>
      </c>
      <c r="S33" s="1575">
        <f t="shared" si="12"/>
        <v>100</v>
      </c>
      <c r="T33" s="1574" t="s">
        <v>8</v>
      </c>
      <c r="U33" s="1575">
        <f t="shared" si="13"/>
        <v>100</v>
      </c>
      <c r="V33" s="1574" t="s">
        <v>8</v>
      </c>
      <c r="W33" s="1575">
        <f t="shared" si="14"/>
        <v>100</v>
      </c>
      <c r="X33" s="1568"/>
      <c r="Y33" s="338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50" t="str">
        <f>A35</f>
        <v>成交单价（元/平方米）</v>
      </c>
      <c r="Q35" s="3350"/>
      <c r="R35" s="3389">
        <f>E35</f>
        <v>0</v>
      </c>
      <c r="S35" s="3389"/>
      <c r="T35" s="3389">
        <f>G35</f>
        <v>0</v>
      </c>
      <c r="U35" s="3389"/>
      <c r="V35" s="3389">
        <f>I35</f>
        <v>0</v>
      </c>
      <c r="W35" s="3389"/>
      <c r="X35" s="1560"/>
      <c r="Y35" s="1582"/>
      <c r="Z35" s="1560"/>
      <c r="AA35" s="1560"/>
      <c r="AB35" s="1560"/>
      <c r="AC35" s="1560"/>
    </row>
    <row r="36" spans="1:29" ht="15.75" thickBot="1">
      <c r="A36" s="615" t="s">
        <v>2766</v>
      </c>
      <c r="B36" s="888"/>
      <c r="C36" s="2659" t="e">
        <f>R37</f>
        <v>#DIV/0!</v>
      </c>
      <c r="D36" s="2660"/>
      <c r="E36" s="2661" t="e">
        <f>R36</f>
        <v>#DIV/0!</v>
      </c>
      <c r="F36" s="2661"/>
      <c r="G36" s="2659" t="e">
        <f>T36</f>
        <v>#DIV/0!</v>
      </c>
      <c r="H36" s="2660"/>
      <c r="I36" s="2661" t="e">
        <f>V36</f>
        <v>#DIV/0!</v>
      </c>
      <c r="J36" s="2660"/>
      <c r="K36" s="1613"/>
      <c r="L36" s="2146"/>
      <c r="M36" s="2147"/>
      <c r="N36" s="2136"/>
      <c r="O36" s="2147"/>
      <c r="P36" s="3350" t="str">
        <f>A36</f>
        <v>比较价格（元/平方米）</v>
      </c>
      <c r="Q36" s="3350"/>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1560"/>
      <c r="Y36" s="1560"/>
      <c r="Z36" s="1560"/>
      <c r="AA36" s="1560"/>
      <c r="AB36" s="1560"/>
      <c r="AC36" s="1560"/>
    </row>
    <row r="37" spans="1:29" ht="15.75" thickBot="1">
      <c r="A37" s="621" t="s">
        <v>2939</v>
      </c>
      <c r="B37" s="622"/>
      <c r="C37" s="2662" t="e">
        <f>R37</f>
        <v>#DIV/0!</v>
      </c>
      <c r="D37" s="2662"/>
      <c r="E37" s="2662"/>
      <c r="F37" s="2662"/>
      <c r="G37" s="2662"/>
      <c r="H37" s="2662"/>
      <c r="I37" s="2662"/>
      <c r="J37" s="2662"/>
      <c r="K37" s="1614"/>
      <c r="L37" s="2146"/>
      <c r="M37" s="2147"/>
      <c r="N37" s="2147"/>
      <c r="O37" s="2147"/>
      <c r="P37" s="3347" t="str">
        <f>A37</f>
        <v>估价对象XX用房的比较价格（楼面单价，元/平方米）</v>
      </c>
      <c r="Q37" s="3348"/>
      <c r="R37" s="3388" t="e">
        <f>IF(F1="售价",ROUND(AVERAGE(R36:V36),0),ROUND(AVERAGE(R36:V36),1))</f>
        <v>#DIV/0!</v>
      </c>
      <c r="S37" s="3388"/>
      <c r="T37" s="3388"/>
      <c r="U37" s="3388"/>
      <c r="V37" s="3388"/>
      <c r="W37" s="338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2562</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2563</v>
      </c>
      <c r="C65" s="2624" t="s">
        <v>2564</v>
      </c>
      <c r="D65" s="2624" t="s">
        <v>2565</v>
      </c>
      <c r="E65" s="2624" t="s">
        <v>2566</v>
      </c>
      <c r="F65" s="2624" t="s">
        <v>2567</v>
      </c>
      <c r="G65" s="2624" t="s">
        <v>2568</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4" t="s">
        <v>2307</v>
      </c>
      <c r="D1" s="3475"/>
      <c r="E1" s="3475"/>
      <c r="F1" s="3475"/>
      <c r="G1" s="3475"/>
      <c r="H1" s="3475"/>
      <c r="I1" s="3475"/>
      <c r="J1" s="3475"/>
      <c r="K1" s="3475"/>
      <c r="L1" s="3475"/>
      <c r="M1" s="3475"/>
      <c r="N1" s="3475"/>
      <c r="O1" s="3475"/>
      <c r="P1" s="3475"/>
      <c r="Q1" s="3475"/>
      <c r="R1" s="3475"/>
      <c r="S1" s="3476"/>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7" spans="1:4" ht="93.75">
      <c r="A7" s="2901" t="s">
        <v>2754</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10667平方米。根据《建设工程规划许可证》[]、《出让合同》[]，估价对象规划建筑面积为8000.25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2755</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2794</v>
      </c>
      <c r="C1" s="3032">
        <f>项目基本情况!D3</f>
        <v>43074</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2825</v>
      </c>
      <c r="C2" s="3033">
        <f>'数据-取费表'!B22</f>
        <v>3</v>
      </c>
      <c r="D2" s="3028" t="s">
        <v>2795</v>
      </c>
      <c r="E2" s="3031">
        <f ca="1">INDIRECT("I"&amp;$I$1)/100</f>
        <v>4.7500000000000001E-2</v>
      </c>
      <c r="G2" s="2968"/>
      <c r="H2" s="2968"/>
      <c r="I2" s="2968" t="s">
        <v>2796</v>
      </c>
      <c r="K2" s="2968"/>
      <c r="L2" s="2968"/>
      <c r="M2" s="2968"/>
      <c r="N2" s="2968" t="s">
        <v>2797</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2827</v>
      </c>
      <c r="C3" s="3030">
        <f>'数据-取费表'!B19</f>
        <v>0</v>
      </c>
      <c r="D3" s="3028" t="s">
        <v>2795</v>
      </c>
      <c r="E3" s="3031">
        <f ca="1">INDIRECT("J"&amp;$J$1)/100</f>
        <v>0</v>
      </c>
      <c r="G3" s="2970" t="s">
        <v>2798</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2826</v>
      </c>
      <c r="C4" s="3031">
        <f ca="1">N4/100</f>
        <v>1.4999999999999999E-2</v>
      </c>
      <c r="G4" s="2976" t="s">
        <v>2799</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2800</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2801</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2802</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2803</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2804</v>
      </c>
      <c r="C10" s="2995"/>
      <c r="D10" s="2995"/>
      <c r="E10" s="2995"/>
      <c r="F10" s="2995"/>
      <c r="G10" s="2995"/>
      <c r="H10" s="2995"/>
      <c r="I10" s="2969"/>
      <c r="J10" s="2969"/>
      <c r="K10" s="2995"/>
      <c r="L10" s="2996" t="s">
        <v>2805</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2806</v>
      </c>
      <c r="C11" s="3000" t="s">
        <v>2807</v>
      </c>
      <c r="D11" s="3001" t="s">
        <v>2808</v>
      </c>
      <c r="E11" s="3002"/>
      <c r="F11" s="3001" t="s">
        <v>2809</v>
      </c>
      <c r="G11" s="3003"/>
      <c r="H11" s="3002"/>
      <c r="I11" s="3001" t="s">
        <v>2810</v>
      </c>
      <c r="J11" s="3002"/>
      <c r="K11" s="2998"/>
      <c r="L11" s="2999" t="s">
        <v>2806</v>
      </c>
      <c r="M11" s="3000" t="s">
        <v>2807</v>
      </c>
      <c r="N11" s="2999" t="s">
        <v>2811</v>
      </c>
      <c r="O11" s="3001" t="s">
        <v>2812</v>
      </c>
      <c r="P11" s="3003"/>
      <c r="Q11" s="3003"/>
      <c r="R11" s="3003"/>
      <c r="S11" s="3003"/>
      <c r="T11" s="3002"/>
      <c r="U11" s="3001" t="s">
        <v>2813</v>
      </c>
      <c r="V11" s="3003"/>
      <c r="W11" s="3002"/>
      <c r="X11" s="2999" t="s">
        <v>2814</v>
      </c>
      <c r="Y11" s="2999" t="s">
        <v>2815</v>
      </c>
      <c r="Z11" s="2999" t="s">
        <v>2816</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2817</v>
      </c>
      <c r="E12" s="3008" t="s">
        <v>2818</v>
      </c>
      <c r="F12" s="3008" t="s">
        <v>2819</v>
      </c>
      <c r="G12" s="3008" t="s">
        <v>2820</v>
      </c>
      <c r="H12" s="3008" t="s">
        <v>2802</v>
      </c>
      <c r="I12" s="3009" t="s">
        <v>2821</v>
      </c>
      <c r="J12" s="3009" t="s">
        <v>2821</v>
      </c>
      <c r="K12" s="3005"/>
      <c r="L12" s="3006"/>
      <c r="M12" s="3007"/>
      <c r="N12" s="3006"/>
      <c r="O12" s="3009" t="s">
        <v>2822</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2823</v>
      </c>
      <c r="C13" s="3013">
        <v>42301</v>
      </c>
      <c r="D13" s="3014">
        <v>4.3499999999999996</v>
      </c>
      <c r="E13" s="3014">
        <v>4.3499999999999996</v>
      </c>
      <c r="F13" s="3014">
        <v>4.75</v>
      </c>
      <c r="G13" s="3014">
        <v>4.75</v>
      </c>
      <c r="H13" s="3014">
        <v>4.9000000000000004</v>
      </c>
      <c r="I13" s="3014">
        <v>2.75</v>
      </c>
      <c r="J13" s="3014">
        <v>3.25</v>
      </c>
      <c r="K13" s="3011"/>
      <c r="L13" s="3012" t="s">
        <v>2823</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2824</v>
      </c>
      <c r="Y42" s="3018" t="s">
        <v>2824</v>
      </c>
      <c r="Z42" s="3018" t="s">
        <v>2824</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2824</v>
      </c>
      <c r="Y43" s="3018" t="s">
        <v>2824</v>
      </c>
      <c r="Z43" s="3018" t="s">
        <v>2824</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2824</v>
      </c>
      <c r="Y44" s="3018" t="s">
        <v>2824</v>
      </c>
      <c r="Z44" s="3018" t="s">
        <v>2824</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2824</v>
      </c>
      <c r="Y45" s="3018" t="s">
        <v>2824</v>
      </c>
      <c r="Z45" s="3018" t="s">
        <v>2824</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2824</v>
      </c>
      <c r="Y46" s="3018" t="s">
        <v>2824</v>
      </c>
      <c r="Z46" s="3018" t="s">
        <v>2824</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2824</v>
      </c>
      <c r="Y47" s="3018" t="s">
        <v>2824</v>
      </c>
      <c r="Z47" s="3018" t="s">
        <v>2824</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2824</v>
      </c>
      <c r="Y48" s="3018" t="s">
        <v>2824</v>
      </c>
      <c r="Z48" s="3018" t="s">
        <v>2824</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2824</v>
      </c>
      <c r="Y49" s="3018" t="s">
        <v>2824</v>
      </c>
      <c r="Z49" s="3018" t="s">
        <v>2824</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2824</v>
      </c>
      <c r="Y50" s="3018" t="s">
        <v>2824</v>
      </c>
      <c r="Z50" s="3018" t="s">
        <v>2824</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2824</v>
      </c>
      <c r="V51" s="3018" t="s">
        <v>2824</v>
      </c>
      <c r="W51" s="3018" t="s">
        <v>2824</v>
      </c>
      <c r="X51" s="3018" t="s">
        <v>2824</v>
      </c>
      <c r="Y51" s="3018" t="s">
        <v>2824</v>
      </c>
      <c r="Z51" s="3018" t="s">
        <v>2824</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2824</v>
      </c>
      <c r="J55" s="3018" t="s">
        <v>2824</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A9" sqref="A9"/>
    </sheetView>
  </sheetViews>
  <sheetFormatPr defaultRowHeight="13.5"/>
  <cols>
    <col min="1" max="1" width="42" style="3167" customWidth="1"/>
    <col min="2" max="2" width="6.25" style="3167" customWidth="1"/>
    <col min="3" max="5" width="13.875" style="3167" customWidth="1"/>
    <col min="6" max="6" width="11.75" style="3167" customWidth="1"/>
    <col min="7" max="7" width="7.875" style="3167" customWidth="1"/>
    <col min="8" max="8" width="12.625" style="3167" customWidth="1"/>
    <col min="9" max="10" width="10.625" style="3167" customWidth="1"/>
    <col min="11" max="12" width="14.375" style="3167" customWidth="1"/>
    <col min="13" max="13" width="6.25" style="3167" customWidth="1"/>
    <col min="14" max="14" width="22.75" style="3167" customWidth="1"/>
    <col min="15" max="256" width="9" style="3167"/>
    <col min="257" max="257" width="42" style="3167" customWidth="1"/>
    <col min="258" max="258" width="6.25" style="3167" customWidth="1"/>
    <col min="259" max="261" width="13.875" style="3167" customWidth="1"/>
    <col min="262" max="262" width="11.75" style="3167" customWidth="1"/>
    <col min="263" max="263" width="7.875" style="3167" customWidth="1"/>
    <col min="264" max="264" width="9" style="3167" customWidth="1"/>
    <col min="265" max="266" width="10.625" style="3167" customWidth="1"/>
    <col min="267" max="268" width="14.375" style="3167" customWidth="1"/>
    <col min="269" max="269" width="6.25" style="3167" customWidth="1"/>
    <col min="270" max="270" width="22.75" style="3167" customWidth="1"/>
    <col min="271" max="512" width="9" style="3167"/>
    <col min="513" max="513" width="42" style="3167" customWidth="1"/>
    <col min="514" max="514" width="6.25" style="3167" customWidth="1"/>
    <col min="515" max="517" width="13.875" style="3167" customWidth="1"/>
    <col min="518" max="518" width="11.75" style="3167" customWidth="1"/>
    <col min="519" max="519" width="7.875" style="3167" customWidth="1"/>
    <col min="520" max="520" width="9" style="3167" customWidth="1"/>
    <col min="521" max="522" width="10.625" style="3167" customWidth="1"/>
    <col min="523" max="524" width="14.375" style="3167" customWidth="1"/>
    <col min="525" max="525" width="6.25" style="3167" customWidth="1"/>
    <col min="526" max="526" width="22.75" style="3167" customWidth="1"/>
    <col min="527" max="768" width="9" style="3167"/>
    <col min="769" max="769" width="42" style="3167" customWidth="1"/>
    <col min="770" max="770" width="6.25" style="3167" customWidth="1"/>
    <col min="771" max="773" width="13.875" style="3167" customWidth="1"/>
    <col min="774" max="774" width="11.75" style="3167" customWidth="1"/>
    <col min="775" max="775" width="7.875" style="3167" customWidth="1"/>
    <col min="776" max="776" width="9" style="3167" customWidth="1"/>
    <col min="777" max="778" width="10.625" style="3167" customWidth="1"/>
    <col min="779" max="780" width="14.375" style="3167" customWidth="1"/>
    <col min="781" max="781" width="6.25" style="3167" customWidth="1"/>
    <col min="782" max="782" width="22.75" style="3167" customWidth="1"/>
    <col min="783" max="1024" width="9" style="3167"/>
    <col min="1025" max="1025" width="42" style="3167" customWidth="1"/>
    <col min="1026" max="1026" width="6.25" style="3167" customWidth="1"/>
    <col min="1027" max="1029" width="13.875" style="3167" customWidth="1"/>
    <col min="1030" max="1030" width="11.75" style="3167" customWidth="1"/>
    <col min="1031" max="1031" width="7.875" style="3167" customWidth="1"/>
    <col min="1032" max="1032" width="9" style="3167" customWidth="1"/>
    <col min="1033" max="1034" width="10.625" style="3167" customWidth="1"/>
    <col min="1035" max="1036" width="14.375" style="3167" customWidth="1"/>
    <col min="1037" max="1037" width="6.25" style="3167" customWidth="1"/>
    <col min="1038" max="1038" width="22.75" style="3167" customWidth="1"/>
    <col min="1039" max="1280" width="9" style="3167"/>
    <col min="1281" max="1281" width="42" style="3167" customWidth="1"/>
    <col min="1282" max="1282" width="6.25" style="3167" customWidth="1"/>
    <col min="1283" max="1285" width="13.875" style="3167" customWidth="1"/>
    <col min="1286" max="1286" width="11.75" style="3167" customWidth="1"/>
    <col min="1287" max="1287" width="7.875" style="3167" customWidth="1"/>
    <col min="1288" max="1288" width="9" style="3167" customWidth="1"/>
    <col min="1289" max="1290" width="10.625" style="3167" customWidth="1"/>
    <col min="1291" max="1292" width="14.375" style="3167" customWidth="1"/>
    <col min="1293" max="1293" width="6.25" style="3167" customWidth="1"/>
    <col min="1294" max="1294" width="22.75" style="3167" customWidth="1"/>
    <col min="1295" max="1536" width="9" style="3167"/>
    <col min="1537" max="1537" width="42" style="3167" customWidth="1"/>
    <col min="1538" max="1538" width="6.25" style="3167" customWidth="1"/>
    <col min="1539" max="1541" width="13.875" style="3167" customWidth="1"/>
    <col min="1542" max="1542" width="11.75" style="3167" customWidth="1"/>
    <col min="1543" max="1543" width="7.875" style="3167" customWidth="1"/>
    <col min="1544" max="1544" width="9" style="3167" customWidth="1"/>
    <col min="1545" max="1546" width="10.625" style="3167" customWidth="1"/>
    <col min="1547" max="1548" width="14.375" style="3167" customWidth="1"/>
    <col min="1549" max="1549" width="6.25" style="3167" customWidth="1"/>
    <col min="1550" max="1550" width="22.75" style="3167" customWidth="1"/>
    <col min="1551" max="1792" width="9" style="3167"/>
    <col min="1793" max="1793" width="42" style="3167" customWidth="1"/>
    <col min="1794" max="1794" width="6.25" style="3167" customWidth="1"/>
    <col min="1795" max="1797" width="13.875" style="3167" customWidth="1"/>
    <col min="1798" max="1798" width="11.75" style="3167" customWidth="1"/>
    <col min="1799" max="1799" width="7.875" style="3167" customWidth="1"/>
    <col min="1800" max="1800" width="9" style="3167" customWidth="1"/>
    <col min="1801" max="1802" width="10.625" style="3167" customWidth="1"/>
    <col min="1803" max="1804" width="14.375" style="3167" customWidth="1"/>
    <col min="1805" max="1805" width="6.25" style="3167" customWidth="1"/>
    <col min="1806" max="1806" width="22.75" style="3167" customWidth="1"/>
    <col min="1807" max="2048" width="9" style="3167"/>
    <col min="2049" max="2049" width="42" style="3167" customWidth="1"/>
    <col min="2050" max="2050" width="6.25" style="3167" customWidth="1"/>
    <col min="2051" max="2053" width="13.875" style="3167" customWidth="1"/>
    <col min="2054" max="2054" width="11.75" style="3167" customWidth="1"/>
    <col min="2055" max="2055" width="7.875" style="3167" customWidth="1"/>
    <col min="2056" max="2056" width="9" style="3167" customWidth="1"/>
    <col min="2057" max="2058" width="10.625" style="3167" customWidth="1"/>
    <col min="2059" max="2060" width="14.375" style="3167" customWidth="1"/>
    <col min="2061" max="2061" width="6.25" style="3167" customWidth="1"/>
    <col min="2062" max="2062" width="22.75" style="3167" customWidth="1"/>
    <col min="2063" max="2304" width="9" style="3167"/>
    <col min="2305" max="2305" width="42" style="3167" customWidth="1"/>
    <col min="2306" max="2306" width="6.25" style="3167" customWidth="1"/>
    <col min="2307" max="2309" width="13.875" style="3167" customWidth="1"/>
    <col min="2310" max="2310" width="11.75" style="3167" customWidth="1"/>
    <col min="2311" max="2311" width="7.875" style="3167" customWidth="1"/>
    <col min="2312" max="2312" width="9" style="3167" customWidth="1"/>
    <col min="2313" max="2314" width="10.625" style="3167" customWidth="1"/>
    <col min="2315" max="2316" width="14.375" style="3167" customWidth="1"/>
    <col min="2317" max="2317" width="6.25" style="3167" customWidth="1"/>
    <col min="2318" max="2318" width="22.75" style="3167" customWidth="1"/>
    <col min="2319" max="2560" width="9" style="3167"/>
    <col min="2561" max="2561" width="42" style="3167" customWidth="1"/>
    <col min="2562" max="2562" width="6.25" style="3167" customWidth="1"/>
    <col min="2563" max="2565" width="13.875" style="3167" customWidth="1"/>
    <col min="2566" max="2566" width="11.75" style="3167" customWidth="1"/>
    <col min="2567" max="2567" width="7.875" style="3167" customWidth="1"/>
    <col min="2568" max="2568" width="9" style="3167" customWidth="1"/>
    <col min="2569" max="2570" width="10.625" style="3167" customWidth="1"/>
    <col min="2571" max="2572" width="14.375" style="3167" customWidth="1"/>
    <col min="2573" max="2573" width="6.25" style="3167" customWidth="1"/>
    <col min="2574" max="2574" width="22.75" style="3167" customWidth="1"/>
    <col min="2575" max="2816" width="9" style="3167"/>
    <col min="2817" max="2817" width="42" style="3167" customWidth="1"/>
    <col min="2818" max="2818" width="6.25" style="3167" customWidth="1"/>
    <col min="2819" max="2821" width="13.875" style="3167" customWidth="1"/>
    <col min="2822" max="2822" width="11.75" style="3167" customWidth="1"/>
    <col min="2823" max="2823" width="7.875" style="3167" customWidth="1"/>
    <col min="2824" max="2824" width="9" style="3167" customWidth="1"/>
    <col min="2825" max="2826" width="10.625" style="3167" customWidth="1"/>
    <col min="2827" max="2828" width="14.375" style="3167" customWidth="1"/>
    <col min="2829" max="2829" width="6.25" style="3167" customWidth="1"/>
    <col min="2830" max="2830" width="22.75" style="3167" customWidth="1"/>
    <col min="2831" max="3072" width="9" style="3167"/>
    <col min="3073" max="3073" width="42" style="3167" customWidth="1"/>
    <col min="3074" max="3074" width="6.25" style="3167" customWidth="1"/>
    <col min="3075" max="3077" width="13.875" style="3167" customWidth="1"/>
    <col min="3078" max="3078" width="11.75" style="3167" customWidth="1"/>
    <col min="3079" max="3079" width="7.875" style="3167" customWidth="1"/>
    <col min="3080" max="3080" width="9" style="3167" customWidth="1"/>
    <col min="3081" max="3082" width="10.625" style="3167" customWidth="1"/>
    <col min="3083" max="3084" width="14.375" style="3167" customWidth="1"/>
    <col min="3085" max="3085" width="6.25" style="3167" customWidth="1"/>
    <col min="3086" max="3086" width="22.75" style="3167" customWidth="1"/>
    <col min="3087" max="3328" width="9" style="3167"/>
    <col min="3329" max="3329" width="42" style="3167" customWidth="1"/>
    <col min="3330" max="3330" width="6.25" style="3167" customWidth="1"/>
    <col min="3331" max="3333" width="13.875" style="3167" customWidth="1"/>
    <col min="3334" max="3334" width="11.75" style="3167" customWidth="1"/>
    <col min="3335" max="3335" width="7.875" style="3167" customWidth="1"/>
    <col min="3336" max="3336" width="9" style="3167" customWidth="1"/>
    <col min="3337" max="3338" width="10.625" style="3167" customWidth="1"/>
    <col min="3339" max="3340" width="14.375" style="3167" customWidth="1"/>
    <col min="3341" max="3341" width="6.25" style="3167" customWidth="1"/>
    <col min="3342" max="3342" width="22.75" style="3167" customWidth="1"/>
    <col min="3343" max="3584" width="9" style="3167"/>
    <col min="3585" max="3585" width="42" style="3167" customWidth="1"/>
    <col min="3586" max="3586" width="6.25" style="3167" customWidth="1"/>
    <col min="3587" max="3589" width="13.875" style="3167" customWidth="1"/>
    <col min="3590" max="3590" width="11.75" style="3167" customWidth="1"/>
    <col min="3591" max="3591" width="7.875" style="3167" customWidth="1"/>
    <col min="3592" max="3592" width="9" style="3167" customWidth="1"/>
    <col min="3593" max="3594" width="10.625" style="3167" customWidth="1"/>
    <col min="3595" max="3596" width="14.375" style="3167" customWidth="1"/>
    <col min="3597" max="3597" width="6.25" style="3167" customWidth="1"/>
    <col min="3598" max="3598" width="22.75" style="3167" customWidth="1"/>
    <col min="3599" max="3840" width="9" style="3167"/>
    <col min="3841" max="3841" width="42" style="3167" customWidth="1"/>
    <col min="3842" max="3842" width="6.25" style="3167" customWidth="1"/>
    <col min="3843" max="3845" width="13.875" style="3167" customWidth="1"/>
    <col min="3846" max="3846" width="11.75" style="3167" customWidth="1"/>
    <col min="3847" max="3847" width="7.875" style="3167" customWidth="1"/>
    <col min="3848" max="3848" width="9" style="3167" customWidth="1"/>
    <col min="3849" max="3850" width="10.625" style="3167" customWidth="1"/>
    <col min="3851" max="3852" width="14.375" style="3167" customWidth="1"/>
    <col min="3853" max="3853" width="6.25" style="3167" customWidth="1"/>
    <col min="3854" max="3854" width="22.75" style="3167" customWidth="1"/>
    <col min="3855" max="4096" width="9" style="3167"/>
    <col min="4097" max="4097" width="42" style="3167" customWidth="1"/>
    <col min="4098" max="4098" width="6.25" style="3167" customWidth="1"/>
    <col min="4099" max="4101" width="13.875" style="3167" customWidth="1"/>
    <col min="4102" max="4102" width="11.75" style="3167" customWidth="1"/>
    <col min="4103" max="4103" width="7.875" style="3167" customWidth="1"/>
    <col min="4104" max="4104" width="9" style="3167" customWidth="1"/>
    <col min="4105" max="4106" width="10.625" style="3167" customWidth="1"/>
    <col min="4107" max="4108" width="14.375" style="3167" customWidth="1"/>
    <col min="4109" max="4109" width="6.25" style="3167" customWidth="1"/>
    <col min="4110" max="4110" width="22.75" style="3167" customWidth="1"/>
    <col min="4111" max="4352" width="9" style="3167"/>
    <col min="4353" max="4353" width="42" style="3167" customWidth="1"/>
    <col min="4354" max="4354" width="6.25" style="3167" customWidth="1"/>
    <col min="4355" max="4357" width="13.875" style="3167" customWidth="1"/>
    <col min="4358" max="4358" width="11.75" style="3167" customWidth="1"/>
    <col min="4359" max="4359" width="7.875" style="3167" customWidth="1"/>
    <col min="4360" max="4360" width="9" style="3167" customWidth="1"/>
    <col min="4361" max="4362" width="10.625" style="3167" customWidth="1"/>
    <col min="4363" max="4364" width="14.375" style="3167" customWidth="1"/>
    <col min="4365" max="4365" width="6.25" style="3167" customWidth="1"/>
    <col min="4366" max="4366" width="22.75" style="3167" customWidth="1"/>
    <col min="4367" max="4608" width="9" style="3167"/>
    <col min="4609" max="4609" width="42" style="3167" customWidth="1"/>
    <col min="4610" max="4610" width="6.25" style="3167" customWidth="1"/>
    <col min="4611" max="4613" width="13.875" style="3167" customWidth="1"/>
    <col min="4614" max="4614" width="11.75" style="3167" customWidth="1"/>
    <col min="4615" max="4615" width="7.875" style="3167" customWidth="1"/>
    <col min="4616" max="4616" width="9" style="3167" customWidth="1"/>
    <col min="4617" max="4618" width="10.625" style="3167" customWidth="1"/>
    <col min="4619" max="4620" width="14.375" style="3167" customWidth="1"/>
    <col min="4621" max="4621" width="6.25" style="3167" customWidth="1"/>
    <col min="4622" max="4622" width="22.75" style="3167" customWidth="1"/>
    <col min="4623" max="4864" width="9" style="3167"/>
    <col min="4865" max="4865" width="42" style="3167" customWidth="1"/>
    <col min="4866" max="4866" width="6.25" style="3167" customWidth="1"/>
    <col min="4867" max="4869" width="13.875" style="3167" customWidth="1"/>
    <col min="4870" max="4870" width="11.75" style="3167" customWidth="1"/>
    <col min="4871" max="4871" width="7.875" style="3167" customWidth="1"/>
    <col min="4872" max="4872" width="9" style="3167" customWidth="1"/>
    <col min="4873" max="4874" width="10.625" style="3167" customWidth="1"/>
    <col min="4875" max="4876" width="14.375" style="3167" customWidth="1"/>
    <col min="4877" max="4877" width="6.25" style="3167" customWidth="1"/>
    <col min="4878" max="4878" width="22.75" style="3167" customWidth="1"/>
    <col min="4879" max="5120" width="9" style="3167"/>
    <col min="5121" max="5121" width="42" style="3167" customWidth="1"/>
    <col min="5122" max="5122" width="6.25" style="3167" customWidth="1"/>
    <col min="5123" max="5125" width="13.875" style="3167" customWidth="1"/>
    <col min="5126" max="5126" width="11.75" style="3167" customWidth="1"/>
    <col min="5127" max="5127" width="7.875" style="3167" customWidth="1"/>
    <col min="5128" max="5128" width="9" style="3167" customWidth="1"/>
    <col min="5129" max="5130" width="10.625" style="3167" customWidth="1"/>
    <col min="5131" max="5132" width="14.375" style="3167" customWidth="1"/>
    <col min="5133" max="5133" width="6.25" style="3167" customWidth="1"/>
    <col min="5134" max="5134" width="22.75" style="3167" customWidth="1"/>
    <col min="5135" max="5376" width="9" style="3167"/>
    <col min="5377" max="5377" width="42" style="3167" customWidth="1"/>
    <col min="5378" max="5378" width="6.25" style="3167" customWidth="1"/>
    <col min="5379" max="5381" width="13.875" style="3167" customWidth="1"/>
    <col min="5382" max="5382" width="11.75" style="3167" customWidth="1"/>
    <col min="5383" max="5383" width="7.875" style="3167" customWidth="1"/>
    <col min="5384" max="5384" width="9" style="3167" customWidth="1"/>
    <col min="5385" max="5386" width="10.625" style="3167" customWidth="1"/>
    <col min="5387" max="5388" width="14.375" style="3167" customWidth="1"/>
    <col min="5389" max="5389" width="6.25" style="3167" customWidth="1"/>
    <col min="5390" max="5390" width="22.75" style="3167" customWidth="1"/>
    <col min="5391" max="5632" width="9" style="3167"/>
    <col min="5633" max="5633" width="42" style="3167" customWidth="1"/>
    <col min="5634" max="5634" width="6.25" style="3167" customWidth="1"/>
    <col min="5635" max="5637" width="13.875" style="3167" customWidth="1"/>
    <col min="5638" max="5638" width="11.75" style="3167" customWidth="1"/>
    <col min="5639" max="5639" width="7.875" style="3167" customWidth="1"/>
    <col min="5640" max="5640" width="9" style="3167" customWidth="1"/>
    <col min="5641" max="5642" width="10.625" style="3167" customWidth="1"/>
    <col min="5643" max="5644" width="14.375" style="3167" customWidth="1"/>
    <col min="5645" max="5645" width="6.25" style="3167" customWidth="1"/>
    <col min="5646" max="5646" width="22.75" style="3167" customWidth="1"/>
    <col min="5647" max="5888" width="9" style="3167"/>
    <col min="5889" max="5889" width="42" style="3167" customWidth="1"/>
    <col min="5890" max="5890" width="6.25" style="3167" customWidth="1"/>
    <col min="5891" max="5893" width="13.875" style="3167" customWidth="1"/>
    <col min="5894" max="5894" width="11.75" style="3167" customWidth="1"/>
    <col min="5895" max="5895" width="7.875" style="3167" customWidth="1"/>
    <col min="5896" max="5896" width="9" style="3167" customWidth="1"/>
    <col min="5897" max="5898" width="10.625" style="3167" customWidth="1"/>
    <col min="5899" max="5900" width="14.375" style="3167" customWidth="1"/>
    <col min="5901" max="5901" width="6.25" style="3167" customWidth="1"/>
    <col min="5902" max="5902" width="22.75" style="3167" customWidth="1"/>
    <col min="5903" max="6144" width="9" style="3167"/>
    <col min="6145" max="6145" width="42" style="3167" customWidth="1"/>
    <col min="6146" max="6146" width="6.25" style="3167" customWidth="1"/>
    <col min="6147" max="6149" width="13.875" style="3167" customWidth="1"/>
    <col min="6150" max="6150" width="11.75" style="3167" customWidth="1"/>
    <col min="6151" max="6151" width="7.875" style="3167" customWidth="1"/>
    <col min="6152" max="6152" width="9" style="3167" customWidth="1"/>
    <col min="6153" max="6154" width="10.625" style="3167" customWidth="1"/>
    <col min="6155" max="6156" width="14.375" style="3167" customWidth="1"/>
    <col min="6157" max="6157" width="6.25" style="3167" customWidth="1"/>
    <col min="6158" max="6158" width="22.75" style="3167" customWidth="1"/>
    <col min="6159" max="6400" width="9" style="3167"/>
    <col min="6401" max="6401" width="42" style="3167" customWidth="1"/>
    <col min="6402" max="6402" width="6.25" style="3167" customWidth="1"/>
    <col min="6403" max="6405" width="13.875" style="3167" customWidth="1"/>
    <col min="6406" max="6406" width="11.75" style="3167" customWidth="1"/>
    <col min="6407" max="6407" width="7.875" style="3167" customWidth="1"/>
    <col min="6408" max="6408" width="9" style="3167" customWidth="1"/>
    <col min="6409" max="6410" width="10.625" style="3167" customWidth="1"/>
    <col min="6411" max="6412" width="14.375" style="3167" customWidth="1"/>
    <col min="6413" max="6413" width="6.25" style="3167" customWidth="1"/>
    <col min="6414" max="6414" width="22.75" style="3167" customWidth="1"/>
    <col min="6415" max="6656" width="9" style="3167"/>
    <col min="6657" max="6657" width="42" style="3167" customWidth="1"/>
    <col min="6658" max="6658" width="6.25" style="3167" customWidth="1"/>
    <col min="6659" max="6661" width="13.875" style="3167" customWidth="1"/>
    <col min="6662" max="6662" width="11.75" style="3167" customWidth="1"/>
    <col min="6663" max="6663" width="7.875" style="3167" customWidth="1"/>
    <col min="6664" max="6664" width="9" style="3167" customWidth="1"/>
    <col min="6665" max="6666" width="10.625" style="3167" customWidth="1"/>
    <col min="6667" max="6668" width="14.375" style="3167" customWidth="1"/>
    <col min="6669" max="6669" width="6.25" style="3167" customWidth="1"/>
    <col min="6670" max="6670" width="22.75" style="3167" customWidth="1"/>
    <col min="6671" max="6912" width="9" style="3167"/>
    <col min="6913" max="6913" width="42" style="3167" customWidth="1"/>
    <col min="6914" max="6914" width="6.25" style="3167" customWidth="1"/>
    <col min="6915" max="6917" width="13.875" style="3167" customWidth="1"/>
    <col min="6918" max="6918" width="11.75" style="3167" customWidth="1"/>
    <col min="6919" max="6919" width="7.875" style="3167" customWidth="1"/>
    <col min="6920" max="6920" width="9" style="3167" customWidth="1"/>
    <col min="6921" max="6922" width="10.625" style="3167" customWidth="1"/>
    <col min="6923" max="6924" width="14.375" style="3167" customWidth="1"/>
    <col min="6925" max="6925" width="6.25" style="3167" customWidth="1"/>
    <col min="6926" max="6926" width="22.75" style="3167" customWidth="1"/>
    <col min="6927" max="7168" width="9" style="3167"/>
    <col min="7169" max="7169" width="42" style="3167" customWidth="1"/>
    <col min="7170" max="7170" width="6.25" style="3167" customWidth="1"/>
    <col min="7171" max="7173" width="13.875" style="3167" customWidth="1"/>
    <col min="7174" max="7174" width="11.75" style="3167" customWidth="1"/>
    <col min="7175" max="7175" width="7.875" style="3167" customWidth="1"/>
    <col min="7176" max="7176" width="9" style="3167" customWidth="1"/>
    <col min="7177" max="7178" width="10.625" style="3167" customWidth="1"/>
    <col min="7179" max="7180" width="14.375" style="3167" customWidth="1"/>
    <col min="7181" max="7181" width="6.25" style="3167" customWidth="1"/>
    <col min="7182" max="7182" width="22.75" style="3167" customWidth="1"/>
    <col min="7183" max="7424" width="9" style="3167"/>
    <col min="7425" max="7425" width="42" style="3167" customWidth="1"/>
    <col min="7426" max="7426" width="6.25" style="3167" customWidth="1"/>
    <col min="7427" max="7429" width="13.875" style="3167" customWidth="1"/>
    <col min="7430" max="7430" width="11.75" style="3167" customWidth="1"/>
    <col min="7431" max="7431" width="7.875" style="3167" customWidth="1"/>
    <col min="7432" max="7432" width="9" style="3167" customWidth="1"/>
    <col min="7433" max="7434" width="10.625" style="3167" customWidth="1"/>
    <col min="7435" max="7436" width="14.375" style="3167" customWidth="1"/>
    <col min="7437" max="7437" width="6.25" style="3167" customWidth="1"/>
    <col min="7438" max="7438" width="22.75" style="3167" customWidth="1"/>
    <col min="7439" max="7680" width="9" style="3167"/>
    <col min="7681" max="7681" width="42" style="3167" customWidth="1"/>
    <col min="7682" max="7682" width="6.25" style="3167" customWidth="1"/>
    <col min="7683" max="7685" width="13.875" style="3167" customWidth="1"/>
    <col min="7686" max="7686" width="11.75" style="3167" customWidth="1"/>
    <col min="7687" max="7687" width="7.875" style="3167" customWidth="1"/>
    <col min="7688" max="7688" width="9" style="3167" customWidth="1"/>
    <col min="7689" max="7690" width="10.625" style="3167" customWidth="1"/>
    <col min="7691" max="7692" width="14.375" style="3167" customWidth="1"/>
    <col min="7693" max="7693" width="6.25" style="3167" customWidth="1"/>
    <col min="7694" max="7694" width="22.75" style="3167" customWidth="1"/>
    <col min="7695" max="7936" width="9" style="3167"/>
    <col min="7937" max="7937" width="42" style="3167" customWidth="1"/>
    <col min="7938" max="7938" width="6.25" style="3167" customWidth="1"/>
    <col min="7939" max="7941" width="13.875" style="3167" customWidth="1"/>
    <col min="7942" max="7942" width="11.75" style="3167" customWidth="1"/>
    <col min="7943" max="7943" width="7.875" style="3167" customWidth="1"/>
    <col min="7944" max="7944" width="9" style="3167" customWidth="1"/>
    <col min="7945" max="7946" width="10.625" style="3167" customWidth="1"/>
    <col min="7947" max="7948" width="14.375" style="3167" customWidth="1"/>
    <col min="7949" max="7949" width="6.25" style="3167" customWidth="1"/>
    <col min="7950" max="7950" width="22.75" style="3167" customWidth="1"/>
    <col min="7951" max="8192" width="9" style="3167"/>
    <col min="8193" max="8193" width="42" style="3167" customWidth="1"/>
    <col min="8194" max="8194" width="6.25" style="3167" customWidth="1"/>
    <col min="8195" max="8197" width="13.875" style="3167" customWidth="1"/>
    <col min="8198" max="8198" width="11.75" style="3167" customWidth="1"/>
    <col min="8199" max="8199" width="7.875" style="3167" customWidth="1"/>
    <col min="8200" max="8200" width="9" style="3167" customWidth="1"/>
    <col min="8201" max="8202" width="10.625" style="3167" customWidth="1"/>
    <col min="8203" max="8204" width="14.375" style="3167" customWidth="1"/>
    <col min="8205" max="8205" width="6.25" style="3167" customWidth="1"/>
    <col min="8206" max="8206" width="22.75" style="3167" customWidth="1"/>
    <col min="8207" max="8448" width="9" style="3167"/>
    <col min="8449" max="8449" width="42" style="3167" customWidth="1"/>
    <col min="8450" max="8450" width="6.25" style="3167" customWidth="1"/>
    <col min="8451" max="8453" width="13.875" style="3167" customWidth="1"/>
    <col min="8454" max="8454" width="11.75" style="3167" customWidth="1"/>
    <col min="8455" max="8455" width="7.875" style="3167" customWidth="1"/>
    <col min="8456" max="8456" width="9" style="3167" customWidth="1"/>
    <col min="8457" max="8458" width="10.625" style="3167" customWidth="1"/>
    <col min="8459" max="8460" width="14.375" style="3167" customWidth="1"/>
    <col min="8461" max="8461" width="6.25" style="3167" customWidth="1"/>
    <col min="8462" max="8462" width="22.75" style="3167" customWidth="1"/>
    <col min="8463" max="8704" width="9" style="3167"/>
    <col min="8705" max="8705" width="42" style="3167" customWidth="1"/>
    <col min="8706" max="8706" width="6.25" style="3167" customWidth="1"/>
    <col min="8707" max="8709" width="13.875" style="3167" customWidth="1"/>
    <col min="8710" max="8710" width="11.75" style="3167" customWidth="1"/>
    <col min="8711" max="8711" width="7.875" style="3167" customWidth="1"/>
    <col min="8712" max="8712" width="9" style="3167" customWidth="1"/>
    <col min="8713" max="8714" width="10.625" style="3167" customWidth="1"/>
    <col min="8715" max="8716" width="14.375" style="3167" customWidth="1"/>
    <col min="8717" max="8717" width="6.25" style="3167" customWidth="1"/>
    <col min="8718" max="8718" width="22.75" style="3167" customWidth="1"/>
    <col min="8719" max="8960" width="9" style="3167"/>
    <col min="8961" max="8961" width="42" style="3167" customWidth="1"/>
    <col min="8962" max="8962" width="6.25" style="3167" customWidth="1"/>
    <col min="8963" max="8965" width="13.875" style="3167" customWidth="1"/>
    <col min="8966" max="8966" width="11.75" style="3167" customWidth="1"/>
    <col min="8967" max="8967" width="7.875" style="3167" customWidth="1"/>
    <col min="8968" max="8968" width="9" style="3167" customWidth="1"/>
    <col min="8969" max="8970" width="10.625" style="3167" customWidth="1"/>
    <col min="8971" max="8972" width="14.375" style="3167" customWidth="1"/>
    <col min="8973" max="8973" width="6.25" style="3167" customWidth="1"/>
    <col min="8974" max="8974" width="22.75" style="3167" customWidth="1"/>
    <col min="8975" max="9216" width="9" style="3167"/>
    <col min="9217" max="9217" width="42" style="3167" customWidth="1"/>
    <col min="9218" max="9218" width="6.25" style="3167" customWidth="1"/>
    <col min="9219" max="9221" width="13.875" style="3167" customWidth="1"/>
    <col min="9222" max="9222" width="11.75" style="3167" customWidth="1"/>
    <col min="9223" max="9223" width="7.875" style="3167" customWidth="1"/>
    <col min="9224" max="9224" width="9" style="3167" customWidth="1"/>
    <col min="9225" max="9226" width="10.625" style="3167" customWidth="1"/>
    <col min="9227" max="9228" width="14.375" style="3167" customWidth="1"/>
    <col min="9229" max="9229" width="6.25" style="3167" customWidth="1"/>
    <col min="9230" max="9230" width="22.75" style="3167" customWidth="1"/>
    <col min="9231" max="9472" width="9" style="3167"/>
    <col min="9473" max="9473" width="42" style="3167" customWidth="1"/>
    <col min="9474" max="9474" width="6.25" style="3167" customWidth="1"/>
    <col min="9475" max="9477" width="13.875" style="3167" customWidth="1"/>
    <col min="9478" max="9478" width="11.75" style="3167" customWidth="1"/>
    <col min="9479" max="9479" width="7.875" style="3167" customWidth="1"/>
    <col min="9480" max="9480" width="9" style="3167" customWidth="1"/>
    <col min="9481" max="9482" width="10.625" style="3167" customWidth="1"/>
    <col min="9483" max="9484" width="14.375" style="3167" customWidth="1"/>
    <col min="9485" max="9485" width="6.25" style="3167" customWidth="1"/>
    <col min="9486" max="9486" width="22.75" style="3167" customWidth="1"/>
    <col min="9487" max="9728" width="9" style="3167"/>
    <col min="9729" max="9729" width="42" style="3167" customWidth="1"/>
    <col min="9730" max="9730" width="6.25" style="3167" customWidth="1"/>
    <col min="9731" max="9733" width="13.875" style="3167" customWidth="1"/>
    <col min="9734" max="9734" width="11.75" style="3167" customWidth="1"/>
    <col min="9735" max="9735" width="7.875" style="3167" customWidth="1"/>
    <col min="9736" max="9736" width="9" style="3167" customWidth="1"/>
    <col min="9737" max="9738" width="10.625" style="3167" customWidth="1"/>
    <col min="9739" max="9740" width="14.375" style="3167" customWidth="1"/>
    <col min="9741" max="9741" width="6.25" style="3167" customWidth="1"/>
    <col min="9742" max="9742" width="22.75" style="3167" customWidth="1"/>
    <col min="9743" max="9984" width="9" style="3167"/>
    <col min="9985" max="9985" width="42" style="3167" customWidth="1"/>
    <col min="9986" max="9986" width="6.25" style="3167" customWidth="1"/>
    <col min="9987" max="9989" width="13.875" style="3167" customWidth="1"/>
    <col min="9990" max="9990" width="11.75" style="3167" customWidth="1"/>
    <col min="9991" max="9991" width="7.875" style="3167" customWidth="1"/>
    <col min="9992" max="9992" width="9" style="3167" customWidth="1"/>
    <col min="9993" max="9994" width="10.625" style="3167" customWidth="1"/>
    <col min="9995" max="9996" width="14.375" style="3167" customWidth="1"/>
    <col min="9997" max="9997" width="6.25" style="3167" customWidth="1"/>
    <col min="9998" max="9998" width="22.75" style="3167" customWidth="1"/>
    <col min="9999" max="10240" width="9" style="3167"/>
    <col min="10241" max="10241" width="42" style="3167" customWidth="1"/>
    <col min="10242" max="10242" width="6.25" style="3167" customWidth="1"/>
    <col min="10243" max="10245" width="13.875" style="3167" customWidth="1"/>
    <col min="10246" max="10246" width="11.75" style="3167" customWidth="1"/>
    <col min="10247" max="10247" width="7.875" style="3167" customWidth="1"/>
    <col min="10248" max="10248" width="9" style="3167" customWidth="1"/>
    <col min="10249" max="10250" width="10.625" style="3167" customWidth="1"/>
    <col min="10251" max="10252" width="14.375" style="3167" customWidth="1"/>
    <col min="10253" max="10253" width="6.25" style="3167" customWidth="1"/>
    <col min="10254" max="10254" width="22.75" style="3167" customWidth="1"/>
    <col min="10255" max="10496" width="9" style="3167"/>
    <col min="10497" max="10497" width="42" style="3167" customWidth="1"/>
    <col min="10498" max="10498" width="6.25" style="3167" customWidth="1"/>
    <col min="10499" max="10501" width="13.875" style="3167" customWidth="1"/>
    <col min="10502" max="10502" width="11.75" style="3167" customWidth="1"/>
    <col min="10503" max="10503" width="7.875" style="3167" customWidth="1"/>
    <col min="10504" max="10504" width="9" style="3167" customWidth="1"/>
    <col min="10505" max="10506" width="10.625" style="3167" customWidth="1"/>
    <col min="10507" max="10508" width="14.375" style="3167" customWidth="1"/>
    <col min="10509" max="10509" width="6.25" style="3167" customWidth="1"/>
    <col min="10510" max="10510" width="22.75" style="3167" customWidth="1"/>
    <col min="10511" max="10752" width="9" style="3167"/>
    <col min="10753" max="10753" width="42" style="3167" customWidth="1"/>
    <col min="10754" max="10754" width="6.25" style="3167" customWidth="1"/>
    <col min="10755" max="10757" width="13.875" style="3167" customWidth="1"/>
    <col min="10758" max="10758" width="11.75" style="3167" customWidth="1"/>
    <col min="10759" max="10759" width="7.875" style="3167" customWidth="1"/>
    <col min="10760" max="10760" width="9" style="3167" customWidth="1"/>
    <col min="10761" max="10762" width="10.625" style="3167" customWidth="1"/>
    <col min="10763" max="10764" width="14.375" style="3167" customWidth="1"/>
    <col min="10765" max="10765" width="6.25" style="3167" customWidth="1"/>
    <col min="10766" max="10766" width="22.75" style="3167" customWidth="1"/>
    <col min="10767" max="11008" width="9" style="3167"/>
    <col min="11009" max="11009" width="42" style="3167" customWidth="1"/>
    <col min="11010" max="11010" width="6.25" style="3167" customWidth="1"/>
    <col min="11011" max="11013" width="13.875" style="3167" customWidth="1"/>
    <col min="11014" max="11014" width="11.75" style="3167" customWidth="1"/>
    <col min="11015" max="11015" width="7.875" style="3167" customWidth="1"/>
    <col min="11016" max="11016" width="9" style="3167" customWidth="1"/>
    <col min="11017" max="11018" width="10.625" style="3167" customWidth="1"/>
    <col min="11019" max="11020" width="14.375" style="3167" customWidth="1"/>
    <col min="11021" max="11021" width="6.25" style="3167" customWidth="1"/>
    <col min="11022" max="11022" width="22.75" style="3167" customWidth="1"/>
    <col min="11023" max="11264" width="9" style="3167"/>
    <col min="11265" max="11265" width="42" style="3167" customWidth="1"/>
    <col min="11266" max="11266" width="6.25" style="3167" customWidth="1"/>
    <col min="11267" max="11269" width="13.875" style="3167" customWidth="1"/>
    <col min="11270" max="11270" width="11.75" style="3167" customWidth="1"/>
    <col min="11271" max="11271" width="7.875" style="3167" customWidth="1"/>
    <col min="11272" max="11272" width="9" style="3167" customWidth="1"/>
    <col min="11273" max="11274" width="10.625" style="3167" customWidth="1"/>
    <col min="11275" max="11276" width="14.375" style="3167" customWidth="1"/>
    <col min="11277" max="11277" width="6.25" style="3167" customWidth="1"/>
    <col min="11278" max="11278" width="22.75" style="3167" customWidth="1"/>
    <col min="11279" max="11520" width="9" style="3167"/>
    <col min="11521" max="11521" width="42" style="3167" customWidth="1"/>
    <col min="11522" max="11522" width="6.25" style="3167" customWidth="1"/>
    <col min="11523" max="11525" width="13.875" style="3167" customWidth="1"/>
    <col min="11526" max="11526" width="11.75" style="3167" customWidth="1"/>
    <col min="11527" max="11527" width="7.875" style="3167" customWidth="1"/>
    <col min="11528" max="11528" width="9" style="3167" customWidth="1"/>
    <col min="11529" max="11530" width="10.625" style="3167" customWidth="1"/>
    <col min="11531" max="11532" width="14.375" style="3167" customWidth="1"/>
    <col min="11533" max="11533" width="6.25" style="3167" customWidth="1"/>
    <col min="11534" max="11534" width="22.75" style="3167" customWidth="1"/>
    <col min="11535" max="11776" width="9" style="3167"/>
    <col min="11777" max="11777" width="42" style="3167" customWidth="1"/>
    <col min="11778" max="11778" width="6.25" style="3167" customWidth="1"/>
    <col min="11779" max="11781" width="13.875" style="3167" customWidth="1"/>
    <col min="11782" max="11782" width="11.75" style="3167" customWidth="1"/>
    <col min="11783" max="11783" width="7.875" style="3167" customWidth="1"/>
    <col min="11784" max="11784" width="9" style="3167" customWidth="1"/>
    <col min="11785" max="11786" width="10.625" style="3167" customWidth="1"/>
    <col min="11787" max="11788" width="14.375" style="3167" customWidth="1"/>
    <col min="11789" max="11789" width="6.25" style="3167" customWidth="1"/>
    <col min="11790" max="11790" width="22.75" style="3167" customWidth="1"/>
    <col min="11791" max="12032" width="9" style="3167"/>
    <col min="12033" max="12033" width="42" style="3167" customWidth="1"/>
    <col min="12034" max="12034" width="6.25" style="3167" customWidth="1"/>
    <col min="12035" max="12037" width="13.875" style="3167" customWidth="1"/>
    <col min="12038" max="12038" width="11.75" style="3167" customWidth="1"/>
    <col min="12039" max="12039" width="7.875" style="3167" customWidth="1"/>
    <col min="12040" max="12040" width="9" style="3167" customWidth="1"/>
    <col min="12041" max="12042" width="10.625" style="3167" customWidth="1"/>
    <col min="12043" max="12044" width="14.375" style="3167" customWidth="1"/>
    <col min="12045" max="12045" width="6.25" style="3167" customWidth="1"/>
    <col min="12046" max="12046" width="22.75" style="3167" customWidth="1"/>
    <col min="12047" max="12288" width="9" style="3167"/>
    <col min="12289" max="12289" width="42" style="3167" customWidth="1"/>
    <col min="12290" max="12290" width="6.25" style="3167" customWidth="1"/>
    <col min="12291" max="12293" width="13.875" style="3167" customWidth="1"/>
    <col min="12294" max="12294" width="11.75" style="3167" customWidth="1"/>
    <col min="12295" max="12295" width="7.875" style="3167" customWidth="1"/>
    <col min="12296" max="12296" width="9" style="3167" customWidth="1"/>
    <col min="12297" max="12298" width="10.625" style="3167" customWidth="1"/>
    <col min="12299" max="12300" width="14.375" style="3167" customWidth="1"/>
    <col min="12301" max="12301" width="6.25" style="3167" customWidth="1"/>
    <col min="12302" max="12302" width="22.75" style="3167" customWidth="1"/>
    <col min="12303" max="12544" width="9" style="3167"/>
    <col min="12545" max="12545" width="42" style="3167" customWidth="1"/>
    <col min="12546" max="12546" width="6.25" style="3167" customWidth="1"/>
    <col min="12547" max="12549" width="13.875" style="3167" customWidth="1"/>
    <col min="12550" max="12550" width="11.75" style="3167" customWidth="1"/>
    <col min="12551" max="12551" width="7.875" style="3167" customWidth="1"/>
    <col min="12552" max="12552" width="9" style="3167" customWidth="1"/>
    <col min="12553" max="12554" width="10.625" style="3167" customWidth="1"/>
    <col min="12555" max="12556" width="14.375" style="3167" customWidth="1"/>
    <col min="12557" max="12557" width="6.25" style="3167" customWidth="1"/>
    <col min="12558" max="12558" width="22.75" style="3167" customWidth="1"/>
    <col min="12559" max="12800" width="9" style="3167"/>
    <col min="12801" max="12801" width="42" style="3167" customWidth="1"/>
    <col min="12802" max="12802" width="6.25" style="3167" customWidth="1"/>
    <col min="12803" max="12805" width="13.875" style="3167" customWidth="1"/>
    <col min="12806" max="12806" width="11.75" style="3167" customWidth="1"/>
    <col min="12807" max="12807" width="7.875" style="3167" customWidth="1"/>
    <col min="12808" max="12808" width="9" style="3167" customWidth="1"/>
    <col min="12809" max="12810" width="10.625" style="3167" customWidth="1"/>
    <col min="12811" max="12812" width="14.375" style="3167" customWidth="1"/>
    <col min="12813" max="12813" width="6.25" style="3167" customWidth="1"/>
    <col min="12814" max="12814" width="22.75" style="3167" customWidth="1"/>
    <col min="12815" max="13056" width="9" style="3167"/>
    <col min="13057" max="13057" width="42" style="3167" customWidth="1"/>
    <col min="13058" max="13058" width="6.25" style="3167" customWidth="1"/>
    <col min="13059" max="13061" width="13.875" style="3167" customWidth="1"/>
    <col min="13062" max="13062" width="11.75" style="3167" customWidth="1"/>
    <col min="13063" max="13063" width="7.875" style="3167" customWidth="1"/>
    <col min="13064" max="13064" width="9" style="3167" customWidth="1"/>
    <col min="13065" max="13066" width="10.625" style="3167" customWidth="1"/>
    <col min="13067" max="13068" width="14.375" style="3167" customWidth="1"/>
    <col min="13069" max="13069" width="6.25" style="3167" customWidth="1"/>
    <col min="13070" max="13070" width="22.75" style="3167" customWidth="1"/>
    <col min="13071" max="13312" width="9" style="3167"/>
    <col min="13313" max="13313" width="42" style="3167" customWidth="1"/>
    <col min="13314" max="13314" width="6.25" style="3167" customWidth="1"/>
    <col min="13315" max="13317" width="13.875" style="3167" customWidth="1"/>
    <col min="13318" max="13318" width="11.75" style="3167" customWidth="1"/>
    <col min="13319" max="13319" width="7.875" style="3167" customWidth="1"/>
    <col min="13320" max="13320" width="9" style="3167" customWidth="1"/>
    <col min="13321" max="13322" width="10.625" style="3167" customWidth="1"/>
    <col min="13323" max="13324" width="14.375" style="3167" customWidth="1"/>
    <col min="13325" max="13325" width="6.25" style="3167" customWidth="1"/>
    <col min="13326" max="13326" width="22.75" style="3167" customWidth="1"/>
    <col min="13327" max="13568" width="9" style="3167"/>
    <col min="13569" max="13569" width="42" style="3167" customWidth="1"/>
    <col min="13570" max="13570" width="6.25" style="3167" customWidth="1"/>
    <col min="13571" max="13573" width="13.875" style="3167" customWidth="1"/>
    <col min="13574" max="13574" width="11.75" style="3167" customWidth="1"/>
    <col min="13575" max="13575" width="7.875" style="3167" customWidth="1"/>
    <col min="13576" max="13576" width="9" style="3167" customWidth="1"/>
    <col min="13577" max="13578" width="10.625" style="3167" customWidth="1"/>
    <col min="13579" max="13580" width="14.375" style="3167" customWidth="1"/>
    <col min="13581" max="13581" width="6.25" style="3167" customWidth="1"/>
    <col min="13582" max="13582" width="22.75" style="3167" customWidth="1"/>
    <col min="13583" max="13824" width="9" style="3167"/>
    <col min="13825" max="13825" width="42" style="3167" customWidth="1"/>
    <col min="13826" max="13826" width="6.25" style="3167" customWidth="1"/>
    <col min="13827" max="13829" width="13.875" style="3167" customWidth="1"/>
    <col min="13830" max="13830" width="11.75" style="3167" customWidth="1"/>
    <col min="13831" max="13831" width="7.875" style="3167" customWidth="1"/>
    <col min="13832" max="13832" width="9" style="3167" customWidth="1"/>
    <col min="13833" max="13834" width="10.625" style="3167" customWidth="1"/>
    <col min="13835" max="13836" width="14.375" style="3167" customWidth="1"/>
    <col min="13837" max="13837" width="6.25" style="3167" customWidth="1"/>
    <col min="13838" max="13838" width="22.75" style="3167" customWidth="1"/>
    <col min="13839" max="14080" width="9" style="3167"/>
    <col min="14081" max="14081" width="42" style="3167" customWidth="1"/>
    <col min="14082" max="14082" width="6.25" style="3167" customWidth="1"/>
    <col min="14083" max="14085" width="13.875" style="3167" customWidth="1"/>
    <col min="14086" max="14086" width="11.75" style="3167" customWidth="1"/>
    <col min="14087" max="14087" width="7.875" style="3167" customWidth="1"/>
    <col min="14088" max="14088" width="9" style="3167" customWidth="1"/>
    <col min="14089" max="14090" width="10.625" style="3167" customWidth="1"/>
    <col min="14091" max="14092" width="14.375" style="3167" customWidth="1"/>
    <col min="14093" max="14093" width="6.25" style="3167" customWidth="1"/>
    <col min="14094" max="14094" width="22.75" style="3167" customWidth="1"/>
    <col min="14095" max="14336" width="9" style="3167"/>
    <col min="14337" max="14337" width="42" style="3167" customWidth="1"/>
    <col min="14338" max="14338" width="6.25" style="3167" customWidth="1"/>
    <col min="14339" max="14341" width="13.875" style="3167" customWidth="1"/>
    <col min="14342" max="14342" width="11.75" style="3167" customWidth="1"/>
    <col min="14343" max="14343" width="7.875" style="3167" customWidth="1"/>
    <col min="14344" max="14344" width="9" style="3167" customWidth="1"/>
    <col min="14345" max="14346" width="10.625" style="3167" customWidth="1"/>
    <col min="14347" max="14348" width="14.375" style="3167" customWidth="1"/>
    <col min="14349" max="14349" width="6.25" style="3167" customWidth="1"/>
    <col min="14350" max="14350" width="22.75" style="3167" customWidth="1"/>
    <col min="14351" max="14592" width="9" style="3167"/>
    <col min="14593" max="14593" width="42" style="3167" customWidth="1"/>
    <col min="14594" max="14594" width="6.25" style="3167" customWidth="1"/>
    <col min="14595" max="14597" width="13.875" style="3167" customWidth="1"/>
    <col min="14598" max="14598" width="11.75" style="3167" customWidth="1"/>
    <col min="14599" max="14599" width="7.875" style="3167" customWidth="1"/>
    <col min="14600" max="14600" width="9" style="3167" customWidth="1"/>
    <col min="14601" max="14602" width="10.625" style="3167" customWidth="1"/>
    <col min="14603" max="14604" width="14.375" style="3167" customWidth="1"/>
    <col min="14605" max="14605" width="6.25" style="3167" customWidth="1"/>
    <col min="14606" max="14606" width="22.75" style="3167" customWidth="1"/>
    <col min="14607" max="14848" width="9" style="3167"/>
    <col min="14849" max="14849" width="42" style="3167" customWidth="1"/>
    <col min="14850" max="14850" width="6.25" style="3167" customWidth="1"/>
    <col min="14851" max="14853" width="13.875" style="3167" customWidth="1"/>
    <col min="14854" max="14854" width="11.75" style="3167" customWidth="1"/>
    <col min="14855" max="14855" width="7.875" style="3167" customWidth="1"/>
    <col min="14856" max="14856" width="9" style="3167" customWidth="1"/>
    <col min="14857" max="14858" width="10.625" style="3167" customWidth="1"/>
    <col min="14859" max="14860" width="14.375" style="3167" customWidth="1"/>
    <col min="14861" max="14861" width="6.25" style="3167" customWidth="1"/>
    <col min="14862" max="14862" width="22.75" style="3167" customWidth="1"/>
    <col min="14863" max="15104" width="9" style="3167"/>
    <col min="15105" max="15105" width="42" style="3167" customWidth="1"/>
    <col min="15106" max="15106" width="6.25" style="3167" customWidth="1"/>
    <col min="15107" max="15109" width="13.875" style="3167" customWidth="1"/>
    <col min="15110" max="15110" width="11.75" style="3167" customWidth="1"/>
    <col min="15111" max="15111" width="7.875" style="3167" customWidth="1"/>
    <col min="15112" max="15112" width="9" style="3167" customWidth="1"/>
    <col min="15113" max="15114" width="10.625" style="3167" customWidth="1"/>
    <col min="15115" max="15116" width="14.375" style="3167" customWidth="1"/>
    <col min="15117" max="15117" width="6.25" style="3167" customWidth="1"/>
    <col min="15118" max="15118" width="22.75" style="3167" customWidth="1"/>
    <col min="15119" max="15360" width="9" style="3167"/>
    <col min="15361" max="15361" width="42" style="3167" customWidth="1"/>
    <col min="15362" max="15362" width="6.25" style="3167" customWidth="1"/>
    <col min="15363" max="15365" width="13.875" style="3167" customWidth="1"/>
    <col min="15366" max="15366" width="11.75" style="3167" customWidth="1"/>
    <col min="15367" max="15367" width="7.875" style="3167" customWidth="1"/>
    <col min="15368" max="15368" width="9" style="3167" customWidth="1"/>
    <col min="15369" max="15370" width="10.625" style="3167" customWidth="1"/>
    <col min="15371" max="15372" width="14.375" style="3167" customWidth="1"/>
    <col min="15373" max="15373" width="6.25" style="3167" customWidth="1"/>
    <col min="15374" max="15374" width="22.75" style="3167" customWidth="1"/>
    <col min="15375" max="15616" width="9" style="3167"/>
    <col min="15617" max="15617" width="42" style="3167" customWidth="1"/>
    <col min="15618" max="15618" width="6.25" style="3167" customWidth="1"/>
    <col min="15619" max="15621" width="13.875" style="3167" customWidth="1"/>
    <col min="15622" max="15622" width="11.75" style="3167" customWidth="1"/>
    <col min="15623" max="15623" width="7.875" style="3167" customWidth="1"/>
    <col min="15624" max="15624" width="9" style="3167" customWidth="1"/>
    <col min="15625" max="15626" width="10.625" style="3167" customWidth="1"/>
    <col min="15627" max="15628" width="14.375" style="3167" customWidth="1"/>
    <col min="15629" max="15629" width="6.25" style="3167" customWidth="1"/>
    <col min="15630" max="15630" width="22.75" style="3167" customWidth="1"/>
    <col min="15631" max="15872" width="9" style="3167"/>
    <col min="15873" max="15873" width="42" style="3167" customWidth="1"/>
    <col min="15874" max="15874" width="6.25" style="3167" customWidth="1"/>
    <col min="15875" max="15877" width="13.875" style="3167" customWidth="1"/>
    <col min="15878" max="15878" width="11.75" style="3167" customWidth="1"/>
    <col min="15879" max="15879" width="7.875" style="3167" customWidth="1"/>
    <col min="15880" max="15880" width="9" style="3167" customWidth="1"/>
    <col min="15881" max="15882" width="10.625" style="3167" customWidth="1"/>
    <col min="15883" max="15884" width="14.375" style="3167" customWidth="1"/>
    <col min="15885" max="15885" width="6.25" style="3167" customWidth="1"/>
    <col min="15886" max="15886" width="22.75" style="3167" customWidth="1"/>
    <col min="15887" max="16128" width="9" style="3167"/>
    <col min="16129" max="16129" width="42" style="3167" customWidth="1"/>
    <col min="16130" max="16130" width="6.25" style="3167" customWidth="1"/>
    <col min="16131" max="16133" width="13.875" style="3167" customWidth="1"/>
    <col min="16134" max="16134" width="11.75" style="3167" customWidth="1"/>
    <col min="16135" max="16135" width="7.875" style="3167" customWidth="1"/>
    <col min="16136" max="16136" width="9" style="3167" customWidth="1"/>
    <col min="16137" max="16138" width="10.625" style="3167" customWidth="1"/>
    <col min="16139" max="16140" width="14.375" style="3167" customWidth="1"/>
    <col min="16141" max="16141" width="6.25" style="3167" customWidth="1"/>
    <col min="16142" max="16142" width="22.75" style="3167" customWidth="1"/>
    <col min="16143" max="16384" width="9" style="3167"/>
  </cols>
  <sheetData>
    <row r="1" spans="1:14" ht="14.25">
      <c r="A1" s="3167" t="s">
        <v>2977</v>
      </c>
      <c r="B1" s="3167" t="s">
        <v>2978</v>
      </c>
      <c r="C1" s="3167" t="s">
        <v>2979</v>
      </c>
      <c r="D1" s="3167" t="s">
        <v>2980</v>
      </c>
      <c r="E1" s="3167" t="s">
        <v>2981</v>
      </c>
      <c r="F1" s="3167" t="s">
        <v>2035</v>
      </c>
      <c r="G1" s="3167" t="s">
        <v>2982</v>
      </c>
      <c r="H1" s="3167" t="s">
        <v>2983</v>
      </c>
      <c r="I1" s="3167" t="s">
        <v>2984</v>
      </c>
      <c r="J1" s="3167" t="s">
        <v>2985</v>
      </c>
      <c r="K1" s="3167" t="s">
        <v>2986</v>
      </c>
      <c r="L1" s="3166" t="s">
        <v>3076</v>
      </c>
      <c r="M1" s="3167" t="s">
        <v>2987</v>
      </c>
      <c r="N1" s="3167" t="s">
        <v>2988</v>
      </c>
    </row>
    <row r="2" spans="1:14">
      <c r="A2" s="3167" t="s">
        <v>2989</v>
      </c>
      <c r="B2" s="3167" t="s">
        <v>2990</v>
      </c>
      <c r="C2" s="3167" t="s">
        <v>2991</v>
      </c>
      <c r="D2" s="3167">
        <v>42899</v>
      </c>
      <c r="E2" s="3167">
        <v>94377.8</v>
      </c>
      <c r="F2" s="3167" t="s">
        <v>2992</v>
      </c>
      <c r="G2" s="3167" t="s">
        <v>2993</v>
      </c>
      <c r="H2" s="3167" t="s">
        <v>2994</v>
      </c>
      <c r="I2" s="3167">
        <v>56630</v>
      </c>
      <c r="J2" s="3167">
        <v>96270</v>
      </c>
      <c r="K2" s="3167">
        <v>10200.48</v>
      </c>
      <c r="L2" s="3167">
        <f>ROUND(J2*10000/D2,0)</f>
        <v>22441</v>
      </c>
      <c r="M2" s="3167">
        <v>70</v>
      </c>
      <c r="N2" s="3167" t="s">
        <v>2995</v>
      </c>
    </row>
    <row r="3" spans="1:14">
      <c r="A3" s="3167" t="s">
        <v>2996</v>
      </c>
      <c r="B3" s="3167" t="s">
        <v>2990</v>
      </c>
      <c r="C3" s="3167" t="s">
        <v>2991</v>
      </c>
      <c r="D3" s="3167">
        <v>31863</v>
      </c>
      <c r="E3" s="3167">
        <v>57353.4</v>
      </c>
      <c r="F3" s="3167" t="s">
        <v>2997</v>
      </c>
      <c r="G3" s="3167" t="s">
        <v>2993</v>
      </c>
      <c r="H3" s="3167" t="s">
        <v>2998</v>
      </c>
      <c r="I3" s="3167">
        <v>36133</v>
      </c>
      <c r="J3" s="3167">
        <v>53333</v>
      </c>
      <c r="K3" s="3167">
        <v>9299.01</v>
      </c>
      <c r="L3" s="3167">
        <f t="shared" ref="L3:L32" si="0">ROUND(J3*10000/D3,0)</f>
        <v>16738</v>
      </c>
      <c r="M3" s="3167">
        <v>47.6</v>
      </c>
      <c r="N3" s="3167" t="s">
        <v>2999</v>
      </c>
    </row>
    <row r="4" spans="1:14">
      <c r="A4" s="3167" t="s">
        <v>3000</v>
      </c>
      <c r="B4" s="3167" t="s">
        <v>2990</v>
      </c>
      <c r="C4" s="3167" t="s">
        <v>3001</v>
      </c>
      <c r="D4" s="3167">
        <v>69506</v>
      </c>
      <c r="E4" s="3167">
        <v>173765</v>
      </c>
      <c r="F4" s="3167" t="s">
        <v>3002</v>
      </c>
      <c r="G4" s="3167" t="s">
        <v>3003</v>
      </c>
      <c r="H4" s="3167" t="s">
        <v>3004</v>
      </c>
      <c r="I4" s="3167">
        <v>73140</v>
      </c>
      <c r="J4" s="3167">
        <v>153200</v>
      </c>
      <c r="K4" s="3167">
        <v>8816.51</v>
      </c>
      <c r="L4" s="3167">
        <f t="shared" si="0"/>
        <v>22041</v>
      </c>
      <c r="M4" s="3167">
        <v>109.46</v>
      </c>
      <c r="N4" s="3167" t="s">
        <v>3005</v>
      </c>
    </row>
    <row r="5" spans="1:14">
      <c r="A5" s="3167" t="s">
        <v>3006</v>
      </c>
      <c r="B5" s="3167" t="s">
        <v>2990</v>
      </c>
      <c r="C5" s="3167" t="s">
        <v>3001</v>
      </c>
      <c r="D5" s="3167">
        <v>13166</v>
      </c>
      <c r="E5" s="3167">
        <v>32915</v>
      </c>
      <c r="F5" s="3167" t="s">
        <v>3007</v>
      </c>
      <c r="G5" s="3167" t="s">
        <v>2993</v>
      </c>
      <c r="H5" s="3167" t="s">
        <v>3008</v>
      </c>
      <c r="I5" s="3167">
        <v>6780</v>
      </c>
      <c r="J5" s="3167">
        <v>6800</v>
      </c>
      <c r="K5" s="3167">
        <v>2065.92</v>
      </c>
      <c r="L5" s="3167">
        <f t="shared" si="0"/>
        <v>5165</v>
      </c>
      <c r="M5" s="3167">
        <v>0.28999999999999998</v>
      </c>
      <c r="N5" s="3167" t="s">
        <v>3009</v>
      </c>
    </row>
    <row r="6" spans="1:14">
      <c r="A6" s="3167" t="s">
        <v>3010</v>
      </c>
      <c r="B6" s="3167" t="s">
        <v>2990</v>
      </c>
      <c r="C6" s="3167" t="s">
        <v>2991</v>
      </c>
      <c r="D6" s="3167">
        <v>16700</v>
      </c>
      <c r="E6" s="3167">
        <v>33400</v>
      </c>
      <c r="F6" s="3167" t="s">
        <v>3011</v>
      </c>
      <c r="G6" s="3167" t="s">
        <v>2993</v>
      </c>
      <c r="H6" s="3167" t="s">
        <v>3012</v>
      </c>
      <c r="I6" s="3167">
        <v>14362</v>
      </c>
      <c r="J6" s="3167">
        <v>20502</v>
      </c>
      <c r="K6" s="3167">
        <v>6138.31</v>
      </c>
      <c r="L6" s="3167">
        <f t="shared" si="0"/>
        <v>12277</v>
      </c>
      <c r="M6" s="3167">
        <v>42.75</v>
      </c>
      <c r="N6" s="3167" t="s">
        <v>2999</v>
      </c>
    </row>
    <row r="7" spans="1:14">
      <c r="A7" s="3167" t="s">
        <v>3013</v>
      </c>
      <c r="B7" s="3167" t="s">
        <v>2990</v>
      </c>
      <c r="C7" s="3167" t="s">
        <v>2991</v>
      </c>
      <c r="D7" s="3167">
        <v>23496</v>
      </c>
      <c r="E7" s="3167">
        <v>51691.199999999997</v>
      </c>
      <c r="F7" s="3167" t="s">
        <v>3014</v>
      </c>
      <c r="G7" s="3167" t="s">
        <v>3003</v>
      </c>
      <c r="H7" s="3167" t="s">
        <v>3015</v>
      </c>
      <c r="I7" s="3167">
        <v>19680</v>
      </c>
      <c r="J7" s="3167">
        <v>33100</v>
      </c>
      <c r="K7" s="3167">
        <v>6403.4</v>
      </c>
      <c r="L7" s="3167">
        <f t="shared" si="0"/>
        <v>14088</v>
      </c>
      <c r="M7" s="3167">
        <v>68.19</v>
      </c>
      <c r="N7" s="3167" t="s">
        <v>3016</v>
      </c>
    </row>
    <row r="8" spans="1:14" s="3168" customFormat="1">
      <c r="A8" s="3168" t="s">
        <v>3171</v>
      </c>
      <c r="B8" s="3168" t="s">
        <v>2990</v>
      </c>
      <c r="C8" s="3168" t="s">
        <v>3001</v>
      </c>
      <c r="D8" s="3168">
        <v>24800</v>
      </c>
      <c r="E8" s="3168">
        <v>49600</v>
      </c>
      <c r="F8" s="3168" t="s">
        <v>3017</v>
      </c>
      <c r="G8" s="3168" t="s">
        <v>2993</v>
      </c>
      <c r="H8" s="3168" t="s">
        <v>3018</v>
      </c>
      <c r="I8" s="3168">
        <v>19720</v>
      </c>
      <c r="J8" s="3168">
        <v>26550</v>
      </c>
      <c r="K8" s="3168">
        <v>5352.81</v>
      </c>
      <c r="L8" s="3168">
        <f t="shared" si="0"/>
        <v>10706</v>
      </c>
      <c r="M8" s="3168">
        <v>34.630000000000003</v>
      </c>
      <c r="N8" s="3168" t="s">
        <v>3016</v>
      </c>
    </row>
    <row r="9" spans="1:14" s="3168" customFormat="1">
      <c r="A9" s="3168" t="s">
        <v>3169</v>
      </c>
      <c r="B9" s="3168" t="s">
        <v>2990</v>
      </c>
      <c r="C9" s="3168" t="s">
        <v>2991</v>
      </c>
      <c r="D9" s="3168">
        <v>30063</v>
      </c>
      <c r="E9" s="3168">
        <v>66138.600000000006</v>
      </c>
      <c r="F9" s="3168" t="s">
        <v>3019</v>
      </c>
      <c r="G9" s="3168" t="s">
        <v>2993</v>
      </c>
      <c r="H9" s="3168" t="s">
        <v>3020</v>
      </c>
      <c r="I9" s="3168">
        <v>27090</v>
      </c>
      <c r="J9" s="3168">
        <v>27220</v>
      </c>
      <c r="K9" s="3168">
        <v>4115.6000000000004</v>
      </c>
      <c r="L9" s="3168">
        <f t="shared" si="0"/>
        <v>9054</v>
      </c>
      <c r="M9" s="3168">
        <v>0.48</v>
      </c>
      <c r="N9" s="3168" t="s">
        <v>3021</v>
      </c>
    </row>
    <row r="10" spans="1:14" s="3168" customFormat="1">
      <c r="A10" s="3168" t="s">
        <v>3170</v>
      </c>
      <c r="B10" s="3168" t="s">
        <v>2990</v>
      </c>
      <c r="C10" s="3168" t="s">
        <v>3001</v>
      </c>
      <c r="D10" s="3168">
        <v>42612</v>
      </c>
      <c r="E10" s="3168">
        <v>93746.4</v>
      </c>
      <c r="F10" s="3168" t="s">
        <v>3022</v>
      </c>
      <c r="G10" s="3168" t="s">
        <v>2993</v>
      </c>
      <c r="H10" s="3168" t="s">
        <v>3023</v>
      </c>
      <c r="I10" s="3168">
        <v>28760</v>
      </c>
      <c r="J10" s="3168">
        <v>37510</v>
      </c>
      <c r="K10" s="3168">
        <v>4001.21</v>
      </c>
      <c r="L10" s="3168">
        <f t="shared" si="0"/>
        <v>8803</v>
      </c>
      <c r="M10" s="3168">
        <v>30.42</v>
      </c>
      <c r="N10" s="3168" t="s">
        <v>3024</v>
      </c>
    </row>
    <row r="11" spans="1:14">
      <c r="A11" s="3167" t="s">
        <v>3025</v>
      </c>
      <c r="B11" s="3167" t="s">
        <v>2990</v>
      </c>
      <c r="C11" s="3167" t="s">
        <v>2991</v>
      </c>
      <c r="D11" s="3167">
        <v>38294</v>
      </c>
      <c r="E11" s="3167">
        <v>45952.800000000003</v>
      </c>
      <c r="F11" s="3167" t="s">
        <v>3026</v>
      </c>
      <c r="G11" s="3167" t="s">
        <v>2993</v>
      </c>
      <c r="H11" s="3167" t="s">
        <v>3027</v>
      </c>
      <c r="I11" s="3167">
        <v>17150</v>
      </c>
      <c r="J11" s="3167">
        <v>17150</v>
      </c>
      <c r="K11" s="3167">
        <v>3732.09</v>
      </c>
      <c r="L11" s="3167">
        <f t="shared" si="0"/>
        <v>4479</v>
      </c>
      <c r="M11" s="3167">
        <v>0</v>
      </c>
      <c r="N11" s="3167" t="s">
        <v>3028</v>
      </c>
    </row>
    <row r="12" spans="1:14">
      <c r="A12" s="3167" t="s">
        <v>3029</v>
      </c>
      <c r="B12" s="3167" t="s">
        <v>2990</v>
      </c>
      <c r="C12" s="3167" t="s">
        <v>2991</v>
      </c>
      <c r="D12" s="3167">
        <v>45998</v>
      </c>
      <c r="E12" s="3167">
        <v>55197.599999999999</v>
      </c>
      <c r="F12" s="3167" t="s">
        <v>3026</v>
      </c>
      <c r="G12" s="3167" t="s">
        <v>2993</v>
      </c>
      <c r="H12" s="3167" t="s">
        <v>3027</v>
      </c>
      <c r="I12" s="3167">
        <v>20600</v>
      </c>
      <c r="J12" s="3167">
        <v>20600</v>
      </c>
      <c r="K12" s="3167">
        <v>3732.05</v>
      </c>
      <c r="L12" s="3167">
        <f t="shared" si="0"/>
        <v>4478</v>
      </c>
      <c r="M12" s="3167">
        <v>0</v>
      </c>
      <c r="N12" s="3167" t="s">
        <v>3028</v>
      </c>
    </row>
    <row r="13" spans="1:14">
      <c r="A13" s="3167" t="s">
        <v>3029</v>
      </c>
      <c r="B13" s="3167" t="s">
        <v>2990</v>
      </c>
      <c r="C13" s="3167" t="s">
        <v>2991</v>
      </c>
      <c r="D13" s="3167">
        <v>37830</v>
      </c>
      <c r="E13" s="3167">
        <v>45396</v>
      </c>
      <c r="F13" s="3167" t="s">
        <v>3026</v>
      </c>
      <c r="G13" s="3167" t="s">
        <v>2993</v>
      </c>
      <c r="H13" s="3167" t="s">
        <v>3027</v>
      </c>
      <c r="I13" s="3167">
        <v>16940</v>
      </c>
      <c r="J13" s="3167">
        <v>16940</v>
      </c>
      <c r="K13" s="3167">
        <v>3731.61</v>
      </c>
      <c r="L13" s="3167">
        <f t="shared" si="0"/>
        <v>4478</v>
      </c>
      <c r="M13" s="3167">
        <v>0</v>
      </c>
      <c r="N13" s="3167" t="s">
        <v>3028</v>
      </c>
    </row>
    <row r="14" spans="1:14">
      <c r="A14" s="3167" t="s">
        <v>3029</v>
      </c>
      <c r="B14" s="3167" t="s">
        <v>2990</v>
      </c>
      <c r="C14" s="3167" t="s">
        <v>2991</v>
      </c>
      <c r="D14" s="3167">
        <v>30401</v>
      </c>
      <c r="E14" s="3167">
        <v>36481.199999999997</v>
      </c>
      <c r="F14" s="3167" t="s">
        <v>3026</v>
      </c>
      <c r="G14" s="3167" t="s">
        <v>2993</v>
      </c>
      <c r="H14" s="3167" t="s">
        <v>3027</v>
      </c>
      <c r="I14" s="3167">
        <v>13620</v>
      </c>
      <c r="J14" s="3167">
        <v>13620</v>
      </c>
      <c r="K14" s="3167">
        <v>3733.42</v>
      </c>
      <c r="L14" s="3167">
        <f t="shared" si="0"/>
        <v>4480</v>
      </c>
      <c r="M14" s="3167">
        <v>0</v>
      </c>
      <c r="N14" s="3167" t="s">
        <v>3028</v>
      </c>
    </row>
    <row r="15" spans="1:14">
      <c r="A15" s="3167" t="s">
        <v>3030</v>
      </c>
      <c r="B15" s="3167" t="s">
        <v>2990</v>
      </c>
      <c r="C15" s="3167" t="s">
        <v>2991</v>
      </c>
      <c r="D15" s="3167">
        <v>12216</v>
      </c>
      <c r="E15" s="3167">
        <v>36648</v>
      </c>
      <c r="F15" s="3167" t="s">
        <v>3031</v>
      </c>
      <c r="G15" s="3167" t="s">
        <v>2993</v>
      </c>
      <c r="H15" s="3167" t="s">
        <v>3032</v>
      </c>
      <c r="I15" s="3167">
        <v>7010</v>
      </c>
      <c r="J15" s="3167">
        <v>7210</v>
      </c>
      <c r="K15" s="3167">
        <v>1967.36</v>
      </c>
      <c r="L15" s="3167">
        <f t="shared" si="0"/>
        <v>5902</v>
      </c>
      <c r="M15" s="3167">
        <v>2.85</v>
      </c>
      <c r="N15" s="3167" t="s">
        <v>3033</v>
      </c>
    </row>
    <row r="16" spans="1:14">
      <c r="A16" s="3167" t="s">
        <v>3034</v>
      </c>
      <c r="B16" s="3167" t="s">
        <v>2990</v>
      </c>
      <c r="C16" s="3167" t="s">
        <v>3001</v>
      </c>
      <c r="D16" s="3167">
        <v>17360</v>
      </c>
      <c r="E16" s="3167">
        <v>38192</v>
      </c>
      <c r="F16" s="3167" t="s">
        <v>3019</v>
      </c>
      <c r="G16" s="3167" t="s">
        <v>2993</v>
      </c>
      <c r="H16" s="3167" t="s">
        <v>3035</v>
      </c>
      <c r="I16" s="3167">
        <v>13030</v>
      </c>
      <c r="J16" s="3167">
        <v>13030</v>
      </c>
      <c r="K16" s="3167">
        <v>3411.71</v>
      </c>
      <c r="L16" s="3167">
        <f t="shared" si="0"/>
        <v>7506</v>
      </c>
      <c r="M16" s="3167">
        <v>0</v>
      </c>
      <c r="N16" s="3167" t="s">
        <v>3036</v>
      </c>
    </row>
    <row r="17" spans="1:14" ht="14.25">
      <c r="A17" s="3167" t="s">
        <v>2977</v>
      </c>
      <c r="B17" s="3167" t="s">
        <v>2978</v>
      </c>
      <c r="C17" s="3167" t="s">
        <v>2979</v>
      </c>
      <c r="D17" s="3167" t="s">
        <v>2980</v>
      </c>
      <c r="E17" s="3167" t="s">
        <v>2981</v>
      </c>
      <c r="F17" s="3167" t="s">
        <v>2035</v>
      </c>
      <c r="G17" s="3167" t="s">
        <v>2982</v>
      </c>
      <c r="H17" s="3167" t="s">
        <v>2983</v>
      </c>
      <c r="I17" s="3167" t="s">
        <v>2984</v>
      </c>
      <c r="J17" s="3167" t="s">
        <v>2985</v>
      </c>
      <c r="K17" s="3167" t="s">
        <v>2986</v>
      </c>
      <c r="L17" s="3166" t="s">
        <v>3076</v>
      </c>
      <c r="M17" s="3167" t="s">
        <v>2987</v>
      </c>
      <c r="N17" s="3167" t="s">
        <v>2988</v>
      </c>
    </row>
    <row r="18" spans="1:14">
      <c r="A18" s="3167" t="s">
        <v>3037</v>
      </c>
      <c r="B18" s="3167" t="s">
        <v>2990</v>
      </c>
      <c r="C18" s="3167" t="s">
        <v>3001</v>
      </c>
      <c r="D18" s="3167">
        <v>36056</v>
      </c>
      <c r="E18" s="3167">
        <v>72112</v>
      </c>
      <c r="F18" s="3167" t="s">
        <v>3017</v>
      </c>
      <c r="G18" s="3167" t="s">
        <v>2993</v>
      </c>
      <c r="H18" s="3167" t="s">
        <v>3038</v>
      </c>
      <c r="I18" s="3167">
        <v>7810</v>
      </c>
      <c r="J18" s="3167">
        <v>7810</v>
      </c>
      <c r="K18" s="3167">
        <v>1083.03</v>
      </c>
      <c r="L18" s="3167">
        <f t="shared" si="0"/>
        <v>2166</v>
      </c>
      <c r="M18" s="3167">
        <v>0</v>
      </c>
      <c r="N18" s="3167" t="s">
        <v>3028</v>
      </c>
    </row>
    <row r="19" spans="1:14">
      <c r="A19" s="3167" t="s">
        <v>3039</v>
      </c>
      <c r="B19" s="3167" t="s">
        <v>2990</v>
      </c>
      <c r="C19" s="3167" t="s">
        <v>2991</v>
      </c>
      <c r="D19" s="3167">
        <v>16728</v>
      </c>
      <c r="E19" s="3167">
        <v>26764.799999999999</v>
      </c>
      <c r="F19" s="3167" t="s">
        <v>3040</v>
      </c>
      <c r="G19" s="3167" t="s">
        <v>3003</v>
      </c>
      <c r="H19" s="3167" t="s">
        <v>3041</v>
      </c>
      <c r="I19" s="3167">
        <v>5010</v>
      </c>
      <c r="J19" s="3167">
        <v>5010</v>
      </c>
      <c r="K19" s="3167">
        <v>1871.85</v>
      </c>
      <c r="L19" s="3167">
        <f t="shared" si="0"/>
        <v>2995</v>
      </c>
      <c r="M19" s="3167">
        <v>0</v>
      </c>
      <c r="N19" s="3167" t="s">
        <v>3042</v>
      </c>
    </row>
    <row r="20" spans="1:14">
      <c r="A20" s="3167" t="s">
        <v>3043</v>
      </c>
      <c r="B20" s="3167" t="s">
        <v>2990</v>
      </c>
      <c r="C20" s="3167" t="s">
        <v>2991</v>
      </c>
      <c r="D20" s="3167">
        <v>38121</v>
      </c>
      <c r="E20" s="3167">
        <v>83866.2</v>
      </c>
      <c r="F20" s="3167" t="s">
        <v>3019</v>
      </c>
      <c r="G20" s="3167" t="s">
        <v>3003</v>
      </c>
      <c r="H20" s="3167" t="s">
        <v>3041</v>
      </c>
      <c r="I20" s="3167">
        <v>15000</v>
      </c>
      <c r="J20" s="3167">
        <v>15000</v>
      </c>
      <c r="K20" s="3167">
        <v>1788.55</v>
      </c>
      <c r="L20" s="3167">
        <f t="shared" si="0"/>
        <v>3935</v>
      </c>
      <c r="M20" s="3167">
        <v>0</v>
      </c>
      <c r="N20" s="3167" t="s">
        <v>3044</v>
      </c>
    </row>
    <row r="21" spans="1:14">
      <c r="A21" s="3167" t="s">
        <v>3045</v>
      </c>
      <c r="B21" s="3167" t="s">
        <v>2990</v>
      </c>
      <c r="C21" s="3167" t="s">
        <v>3001</v>
      </c>
      <c r="D21" s="3167">
        <v>6566</v>
      </c>
      <c r="E21" s="3167">
        <v>21011.200000000001</v>
      </c>
      <c r="F21" s="3167" t="s">
        <v>3046</v>
      </c>
      <c r="G21" s="3167" t="s">
        <v>2993</v>
      </c>
      <c r="H21" s="3167" t="s">
        <v>3047</v>
      </c>
      <c r="I21" s="3167">
        <v>7140</v>
      </c>
      <c r="J21" s="3167">
        <v>7150</v>
      </c>
      <c r="K21" s="3167">
        <v>3402.94</v>
      </c>
      <c r="L21" s="3167">
        <f t="shared" si="0"/>
        <v>10889</v>
      </c>
      <c r="M21" s="3167">
        <v>0.14000000000000001</v>
      </c>
      <c r="N21" s="3167" t="s">
        <v>3048</v>
      </c>
    </row>
    <row r="22" spans="1:14">
      <c r="A22" s="3167" t="s">
        <v>3049</v>
      </c>
      <c r="B22" s="3167" t="s">
        <v>2990</v>
      </c>
      <c r="C22" s="3167" t="s">
        <v>3001</v>
      </c>
      <c r="D22" s="3167">
        <v>66385</v>
      </c>
      <c r="E22" s="3167">
        <v>66385</v>
      </c>
      <c r="F22" s="3167" t="s">
        <v>3050</v>
      </c>
      <c r="G22" s="3167" t="s">
        <v>2993</v>
      </c>
      <c r="H22" s="3167" t="s">
        <v>3051</v>
      </c>
      <c r="I22" s="3167">
        <v>34840</v>
      </c>
      <c r="J22" s="3167">
        <v>34900</v>
      </c>
      <c r="K22" s="3167">
        <v>5257.21</v>
      </c>
      <c r="L22" s="3167">
        <f t="shared" si="0"/>
        <v>5257</v>
      </c>
      <c r="M22" s="3167">
        <v>0.17</v>
      </c>
      <c r="N22" s="3167" t="s">
        <v>3028</v>
      </c>
    </row>
    <row r="23" spans="1:14">
      <c r="A23" s="3167" t="s">
        <v>3052</v>
      </c>
      <c r="B23" s="3167" t="s">
        <v>2990</v>
      </c>
      <c r="C23" s="3167" t="s">
        <v>3001</v>
      </c>
      <c r="D23" s="3167">
        <v>12104</v>
      </c>
      <c r="E23" s="3167">
        <v>12104</v>
      </c>
      <c r="F23" s="3167" t="s">
        <v>3050</v>
      </c>
      <c r="G23" s="3167" t="s">
        <v>2993</v>
      </c>
      <c r="H23" s="3167" t="s">
        <v>3051</v>
      </c>
      <c r="I23" s="3167">
        <v>6360</v>
      </c>
      <c r="J23" s="3167">
        <v>6400</v>
      </c>
      <c r="K23" s="3167">
        <v>5287.51</v>
      </c>
      <c r="L23" s="3167">
        <f t="shared" si="0"/>
        <v>5288</v>
      </c>
      <c r="M23" s="3167">
        <v>0.63</v>
      </c>
      <c r="N23" s="3167" t="s">
        <v>3028</v>
      </c>
    </row>
    <row r="24" spans="1:14">
      <c r="A24" s="3167" t="s">
        <v>3053</v>
      </c>
      <c r="B24" s="3167" t="s">
        <v>2990</v>
      </c>
      <c r="C24" s="3167" t="s">
        <v>3001</v>
      </c>
      <c r="D24" s="3167">
        <v>45212</v>
      </c>
      <c r="E24" s="3167">
        <v>45212</v>
      </c>
      <c r="F24" s="3167" t="s">
        <v>3050</v>
      </c>
      <c r="G24" s="3167" t="s">
        <v>2993</v>
      </c>
      <c r="H24" s="3167" t="s">
        <v>3051</v>
      </c>
      <c r="I24" s="3167">
        <v>24400</v>
      </c>
      <c r="J24" s="3167">
        <v>24400</v>
      </c>
      <c r="K24" s="3167">
        <v>5396.8</v>
      </c>
      <c r="L24" s="3167">
        <f t="shared" si="0"/>
        <v>5397</v>
      </c>
      <c r="M24" s="3167">
        <v>0</v>
      </c>
      <c r="N24" s="3167" t="s">
        <v>3042</v>
      </c>
    </row>
    <row r="25" spans="1:14">
      <c r="A25" s="3167" t="s">
        <v>3054</v>
      </c>
      <c r="B25" s="3167" t="s">
        <v>2990</v>
      </c>
      <c r="C25" s="3167" t="s">
        <v>3001</v>
      </c>
      <c r="D25" s="3167">
        <v>30004</v>
      </c>
      <c r="E25" s="3167">
        <v>30004</v>
      </c>
      <c r="F25" s="3167" t="s">
        <v>3050</v>
      </c>
      <c r="G25" s="3167" t="s">
        <v>2993</v>
      </c>
      <c r="H25" s="3167" t="s">
        <v>3051</v>
      </c>
      <c r="I25" s="3167">
        <v>15900</v>
      </c>
      <c r="J25" s="3167">
        <v>15900</v>
      </c>
      <c r="K25" s="3167">
        <v>5299.28</v>
      </c>
      <c r="L25" s="3167">
        <f t="shared" si="0"/>
        <v>5299</v>
      </c>
      <c r="M25" s="3167">
        <v>0</v>
      </c>
      <c r="N25" s="3167" t="s">
        <v>3042</v>
      </c>
    </row>
    <row r="26" spans="1:14">
      <c r="A26" s="3167" t="s">
        <v>3055</v>
      </c>
      <c r="B26" s="3167" t="s">
        <v>2990</v>
      </c>
      <c r="C26" s="3167" t="s">
        <v>2991</v>
      </c>
      <c r="D26" s="3167">
        <v>24098</v>
      </c>
      <c r="E26" s="3167">
        <v>48196</v>
      </c>
      <c r="F26" s="3167" t="s">
        <v>3056</v>
      </c>
      <c r="G26" s="3167" t="s">
        <v>2993</v>
      </c>
      <c r="H26" s="3167" t="s">
        <v>3057</v>
      </c>
      <c r="I26" s="3167">
        <v>8840</v>
      </c>
      <c r="J26" s="3167">
        <v>11380</v>
      </c>
      <c r="K26" s="3167">
        <v>2361.19</v>
      </c>
      <c r="L26" s="3167">
        <f t="shared" si="0"/>
        <v>4722</v>
      </c>
      <c r="M26" s="3167">
        <v>28.73</v>
      </c>
      <c r="N26" s="3167" t="s">
        <v>3058</v>
      </c>
    </row>
    <row r="27" spans="1:14">
      <c r="A27" s="3167" t="s">
        <v>3059</v>
      </c>
      <c r="B27" s="3167" t="s">
        <v>2990</v>
      </c>
      <c r="C27" s="3167" t="s">
        <v>2991</v>
      </c>
      <c r="D27" s="3167">
        <v>16551</v>
      </c>
      <c r="E27" s="3167">
        <v>33102</v>
      </c>
      <c r="F27" s="3167" t="s">
        <v>3056</v>
      </c>
      <c r="G27" s="3167" t="s">
        <v>2993</v>
      </c>
      <c r="H27" s="3167" t="s">
        <v>3057</v>
      </c>
      <c r="I27" s="3167">
        <v>7190</v>
      </c>
      <c r="J27" s="3167">
        <v>7260</v>
      </c>
      <c r="K27" s="3167">
        <v>2193.21</v>
      </c>
      <c r="L27" s="3167">
        <f t="shared" si="0"/>
        <v>4386</v>
      </c>
      <c r="M27" s="3167">
        <v>0.97</v>
      </c>
      <c r="N27" s="3167" t="s">
        <v>3058</v>
      </c>
    </row>
    <row r="28" spans="1:14">
      <c r="A28" s="3167" t="s">
        <v>3060</v>
      </c>
      <c r="B28" s="3167" t="s">
        <v>2990</v>
      </c>
      <c r="C28" s="3167" t="s">
        <v>3001</v>
      </c>
      <c r="D28" s="3167">
        <v>21122</v>
      </c>
      <c r="E28" s="3167">
        <v>61253.8</v>
      </c>
      <c r="F28" s="3167" t="s">
        <v>3061</v>
      </c>
      <c r="G28" s="3167" t="s">
        <v>3003</v>
      </c>
      <c r="H28" s="3167" t="s">
        <v>3062</v>
      </c>
      <c r="I28" s="3167">
        <v>9500</v>
      </c>
      <c r="J28" s="3167">
        <v>16200</v>
      </c>
      <c r="K28" s="3167">
        <v>2644.73</v>
      </c>
      <c r="L28" s="3167">
        <f t="shared" si="0"/>
        <v>7670</v>
      </c>
      <c r="M28" s="3167">
        <v>70.53</v>
      </c>
      <c r="N28" s="3167" t="s">
        <v>3063</v>
      </c>
    </row>
    <row r="29" spans="1:14">
      <c r="A29" s="3167" t="s">
        <v>3064</v>
      </c>
      <c r="B29" s="3167" t="s">
        <v>2990</v>
      </c>
      <c r="C29" s="3167" t="s">
        <v>2991</v>
      </c>
      <c r="D29" s="3167">
        <v>49348</v>
      </c>
      <c r="E29" s="3167">
        <v>59217.599999999999</v>
      </c>
      <c r="F29" s="3167" t="s">
        <v>3065</v>
      </c>
      <c r="G29" s="3167" t="s">
        <v>3003</v>
      </c>
      <c r="H29" s="3167" t="s">
        <v>3066</v>
      </c>
      <c r="I29" s="3167">
        <v>31450</v>
      </c>
      <c r="J29" s="3167">
        <v>31470</v>
      </c>
      <c r="K29" s="3167">
        <v>5314.3</v>
      </c>
      <c r="L29" s="3167">
        <f t="shared" si="0"/>
        <v>6377</v>
      </c>
      <c r="M29" s="3167">
        <v>0.06</v>
      </c>
      <c r="N29" s="3167" t="s">
        <v>3067</v>
      </c>
    </row>
    <row r="30" spans="1:14">
      <c r="A30" s="3167" t="s">
        <v>3068</v>
      </c>
      <c r="B30" s="3167" t="s">
        <v>2990</v>
      </c>
      <c r="C30" s="3167" t="s">
        <v>2991</v>
      </c>
      <c r="D30" s="3167">
        <v>48846</v>
      </c>
      <c r="E30" s="3167">
        <v>146538</v>
      </c>
      <c r="F30" s="3167" t="s">
        <v>3069</v>
      </c>
      <c r="G30" s="3167" t="s">
        <v>3003</v>
      </c>
      <c r="H30" s="3167" t="s">
        <v>3066</v>
      </c>
      <c r="I30" s="3167">
        <v>22000</v>
      </c>
      <c r="J30" s="3167">
        <v>23520</v>
      </c>
      <c r="K30" s="3167">
        <v>1605.03</v>
      </c>
      <c r="L30" s="3167">
        <f t="shared" si="0"/>
        <v>4815</v>
      </c>
      <c r="M30" s="3167">
        <v>6.91</v>
      </c>
      <c r="N30" s="3167" t="s">
        <v>3070</v>
      </c>
    </row>
    <row r="31" spans="1:14">
      <c r="A31" s="3167" t="s">
        <v>3071</v>
      </c>
      <c r="B31" s="3167" t="s">
        <v>2990</v>
      </c>
      <c r="C31" s="3167" t="s">
        <v>2991</v>
      </c>
      <c r="D31" s="3167">
        <v>48676</v>
      </c>
      <c r="E31" s="3167">
        <v>58411.199999999997</v>
      </c>
      <c r="F31" s="3167" t="s">
        <v>3065</v>
      </c>
      <c r="G31" s="3167" t="s">
        <v>3003</v>
      </c>
      <c r="H31" s="3167" t="s">
        <v>3066</v>
      </c>
      <c r="I31" s="3167">
        <v>28530</v>
      </c>
      <c r="J31" s="3167">
        <v>28550</v>
      </c>
      <c r="K31" s="3167">
        <v>4887.76</v>
      </c>
      <c r="L31" s="3167">
        <f t="shared" si="0"/>
        <v>5865</v>
      </c>
      <c r="M31" s="3167">
        <v>7.0000000000000007E-2</v>
      </c>
      <c r="N31" s="3167" t="s">
        <v>3072</v>
      </c>
    </row>
    <row r="32" spans="1:14">
      <c r="A32" s="3167" t="s">
        <v>3073</v>
      </c>
      <c r="B32" s="3167" t="s">
        <v>2990</v>
      </c>
      <c r="C32" s="3167" t="s">
        <v>3001</v>
      </c>
      <c r="D32" s="3167">
        <v>19472</v>
      </c>
      <c r="E32" s="3167" t="s">
        <v>2824</v>
      </c>
      <c r="F32" s="3167" t="s">
        <v>2824</v>
      </c>
      <c r="G32" s="3167" t="s">
        <v>2993</v>
      </c>
      <c r="H32" s="3167" t="s">
        <v>3074</v>
      </c>
      <c r="I32" s="3167">
        <v>4420</v>
      </c>
      <c r="J32" s="3167">
        <v>4430</v>
      </c>
      <c r="K32" s="3167" t="s">
        <v>2824</v>
      </c>
      <c r="L32" s="3167">
        <f t="shared" si="0"/>
        <v>2275</v>
      </c>
      <c r="M32" s="3167">
        <v>0.23</v>
      </c>
      <c r="N32" s="3167" t="s">
        <v>3075</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2041</v>
      </c>
      <c r="B1" s="3183"/>
      <c r="C1" s="3183"/>
      <c r="D1" s="3183"/>
      <c r="E1" s="3183"/>
      <c r="F1" s="3183"/>
      <c r="G1" s="3183"/>
      <c r="H1" s="3183"/>
      <c r="I1" s="3183"/>
      <c r="J1" s="3183"/>
      <c r="K1" s="3183"/>
      <c r="L1" s="3183"/>
      <c r="M1" s="3183"/>
      <c r="N1" s="3183"/>
      <c r="O1" s="3183"/>
      <c r="P1" s="3183"/>
      <c r="Q1" s="3183"/>
      <c r="R1" s="3183"/>
    </row>
    <row r="2" spans="1:18">
      <c r="A2" s="1809" t="s">
        <v>2043</v>
      </c>
      <c r="B2" s="1809"/>
      <c r="C2" s="1809"/>
      <c r="D2" s="1809"/>
      <c r="E2" s="1809"/>
      <c r="F2" s="1809"/>
      <c r="G2" s="1809"/>
      <c r="H2" s="1809"/>
      <c r="I2" s="1810"/>
      <c r="J2" s="1810"/>
      <c r="K2" s="1811" t="str">
        <f>"估价期日："&amp;TEXT(项目基本情况!D3,"yyyy年m月d日;;")</f>
        <v>估价期日：2017年12月5日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4" t="s">
        <v>2032</v>
      </c>
      <c r="B3" s="3184" t="s">
        <v>2737</v>
      </c>
      <c r="C3" s="3185" t="s">
        <v>2033</v>
      </c>
      <c r="D3" s="3184" t="s">
        <v>2741</v>
      </c>
      <c r="E3" s="3187" t="s">
        <v>2034</v>
      </c>
      <c r="F3" s="3187"/>
      <c r="G3" s="3187"/>
      <c r="H3" s="3187" t="s">
        <v>2035</v>
      </c>
      <c r="I3" s="3187"/>
      <c r="J3" s="3187"/>
      <c r="K3" s="3185" t="s">
        <v>2036</v>
      </c>
      <c r="L3" s="3185" t="s">
        <v>2037</v>
      </c>
      <c r="M3" s="3184" t="s">
        <v>2738</v>
      </c>
      <c r="N3" s="3186" t="str">
        <f>"（分摊）"&amp;项目基本情况!B16&amp;"国有建设用地使用权面积/㎡"</f>
        <v>（分摊）出让国有建设用地使用权面积/㎡</v>
      </c>
      <c r="O3" s="3184" t="s">
        <v>2066</v>
      </c>
      <c r="P3" s="3185" t="s">
        <v>2046</v>
      </c>
      <c r="Q3" s="3185" t="s">
        <v>2067</v>
      </c>
      <c r="R3" s="3185" t="s">
        <v>2038</v>
      </c>
    </row>
    <row r="4" spans="1:18" ht="36.75" customHeight="1">
      <c r="A4" s="3184"/>
      <c r="B4" s="3184"/>
      <c r="C4" s="3185"/>
      <c r="D4" s="3184"/>
      <c r="E4" s="2676" t="s">
        <v>2045</v>
      </c>
      <c r="F4" s="2676" t="s">
        <v>2750</v>
      </c>
      <c r="G4" s="2676" t="s">
        <v>2039</v>
      </c>
      <c r="H4" s="2676" t="s">
        <v>2040</v>
      </c>
      <c r="I4" s="2676" t="s">
        <v>2751</v>
      </c>
      <c r="J4" s="2676" t="s">
        <v>2039</v>
      </c>
      <c r="K4" s="3185"/>
      <c r="L4" s="3185"/>
      <c r="M4" s="3184"/>
      <c r="N4" s="3186"/>
      <c r="O4" s="3184"/>
      <c r="P4" s="3185"/>
      <c r="Q4" s="3185"/>
      <c r="R4" s="3185"/>
    </row>
    <row r="5" spans="1:18" ht="135" customHeight="1">
      <c r="A5" s="1945" t="s">
        <v>2661</v>
      </c>
      <c r="B5" s="2895" t="s">
        <v>2659</v>
      </c>
      <c r="C5" s="2675">
        <v>22</v>
      </c>
      <c r="D5" s="2674" t="s">
        <v>2660</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10667</v>
      </c>
      <c r="O5" s="1812">
        <f>项目基本情况!C21</f>
        <v>8000.25</v>
      </c>
      <c r="P5" s="1812">
        <f ca="1">结果表!E42</f>
        <v>7057</v>
      </c>
      <c r="Q5" s="1812">
        <f ca="1">结果表!D42</f>
        <v>9410</v>
      </c>
      <c r="R5" s="1813">
        <f ca="1">结果表!C42</f>
        <v>7528</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814">
        <f ca="1">结果表!O39</f>
        <v>7528</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4" t="str">
        <f>结果表!O40</f>
        <v>——</v>
      </c>
    </row>
    <row r="8" spans="1:18">
      <c r="A8" s="3188">
        <f>IF(项目基本情况!B9="市场价格","——",项目基本情况!E9)</f>
        <v>0</v>
      </c>
      <c r="B8" s="3189"/>
      <c r="C8" s="3189"/>
      <c r="D8" s="3189"/>
      <c r="E8" s="3189"/>
      <c r="F8" s="3189"/>
      <c r="G8" s="3189"/>
      <c r="H8" s="3189"/>
      <c r="I8" s="3189"/>
      <c r="J8" s="3189"/>
      <c r="K8" s="3189"/>
      <c r="L8" s="3189"/>
      <c r="M8" s="3189"/>
      <c r="N8" s="3189"/>
      <c r="O8" s="3189"/>
      <c r="P8" s="3189"/>
      <c r="Q8" s="3190"/>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2" t="s">
        <v>2068</v>
      </c>
      <c r="B1" s="3192"/>
      <c r="C1" s="3192"/>
      <c r="D1" s="3192"/>
    </row>
    <row r="2" spans="1:4" ht="47.25" customHeight="1">
      <c r="A2" s="3193" t="str">
        <f>"1.权利限制："&amp;项目基本情况!L24&amp;"未设定租赁等其他他项权利。"</f>
        <v>1.权利限制：根据估价对象《不动产权证书》——、《国有土地使用权》复印件，截至估价期日，估价对象抵押权未见登记。未设定租赁等其他他项权利。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1" t="s">
        <v>2069</v>
      </c>
      <c r="B5" s="3191"/>
      <c r="C5" s="3191"/>
      <c r="D5" s="3191"/>
    </row>
    <row r="6" spans="1:4">
      <c r="A6" s="3192" t="s">
        <v>2047</v>
      </c>
      <c r="B6" s="3192"/>
      <c r="C6" s="3192"/>
      <c r="D6" s="3192"/>
    </row>
    <row r="7" spans="1:4" ht="33" customHeight="1">
      <c r="A7" s="3192" t="s">
        <v>2580</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（1）根据估价对象《不动产权证书》——、《国有土地使用权》复印件，截至估价期日，估价对象抵押权未见登记。</v>
      </c>
      <c r="B11" s="3194"/>
      <c r="C11" s="3194"/>
      <c r="D11" s="3194"/>
    </row>
    <row r="12" spans="1:4" ht="168" customHeight="1">
      <c r="A12" s="3191" t="s">
        <v>2071</v>
      </c>
      <c r="B12" s="3191"/>
      <c r="C12" s="3191"/>
      <c r="D12" s="3191"/>
    </row>
    <row r="13" spans="1:4">
      <c r="A13" s="3195" t="s">
        <v>2752</v>
      </c>
      <c r="B13" s="3195"/>
      <c r="C13" s="3195"/>
      <c r="D13" s="3195"/>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2708</v>
      </c>
      <c r="B17" s="3192"/>
      <c r="C17" s="3192"/>
      <c r="D17" s="3192"/>
    </row>
    <row r="18" spans="1:4">
      <c r="A18" s="3192" t="s">
        <v>2700</v>
      </c>
      <c r="B18" s="3192"/>
      <c r="C18" s="3192"/>
      <c r="D18" s="3192"/>
    </row>
    <row r="19" spans="1:4">
      <c r="A19" s="2896" t="s">
        <v>2701</v>
      </c>
      <c r="B19" s="2896" t="s">
        <v>2702</v>
      </c>
      <c r="C19" s="2896" t="s">
        <v>2703</v>
      </c>
      <c r="D19" s="2896" t="s">
        <v>2704</v>
      </c>
    </row>
    <row r="20" spans="1:4">
      <c r="A20" s="2896" t="str">
        <f>项目基本情况!B4</f>
        <v>刘梅</v>
      </c>
      <c r="B20" s="2896">
        <f ca="1">项目基本情况!C4</f>
        <v>2008110059</v>
      </c>
      <c r="C20" s="2898"/>
      <c r="D20" s="1802" t="s">
        <v>2709</v>
      </c>
    </row>
    <row r="21" spans="1:4">
      <c r="A21" s="2896" t="str">
        <f>项目基本情况!D4</f>
        <v>吴薇</v>
      </c>
      <c r="B21" s="2896">
        <f ca="1">项目基本情况!E4</f>
        <v>2002110125</v>
      </c>
      <c r="C21" s="2898"/>
      <c r="D21" s="1802" t="s">
        <v>2710</v>
      </c>
    </row>
    <row r="23" spans="1:4">
      <c r="A23" s="3192" t="s">
        <v>2705</v>
      </c>
      <c r="B23" s="3192"/>
      <c r="C23" s="3192"/>
      <c r="D23" s="3192"/>
    </row>
    <row r="24" spans="1:4">
      <c r="A24" s="2896" t="s">
        <v>2701</v>
      </c>
      <c r="B24" s="2896" t="s">
        <v>2706</v>
      </c>
      <c r="C24" s="2896" t="s">
        <v>2703</v>
      </c>
      <c r="D24" s="2896" t="s">
        <v>2704</v>
      </c>
    </row>
    <row r="25" spans="1:4">
      <c r="A25" s="2899" t="s">
        <v>2707</v>
      </c>
      <c r="B25" s="2896" t="s">
        <v>953</v>
      </c>
      <c r="C25" s="2898"/>
      <c r="D25" s="1802" t="s">
        <v>2710</v>
      </c>
    </row>
    <row r="29" spans="1:4">
      <c r="D29" s="2897" t="s">
        <v>2042</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3" t="s">
        <v>53</v>
      </c>
      <c r="B15" s="3204" t="s">
        <v>847</v>
      </c>
      <c r="C15" s="3200"/>
    </row>
    <row r="16" spans="1:7" ht="14.25">
      <c r="A16" s="3203"/>
      <c r="B16" s="3201" t="s">
        <v>54</v>
      </c>
      <c r="C16" s="1172" t="s">
        <v>53</v>
      </c>
    </row>
    <row r="17" spans="1:3" ht="14.25">
      <c r="A17" s="3203"/>
      <c r="B17" s="3201"/>
      <c r="C17" s="1172" t="s">
        <v>55</v>
      </c>
    </row>
    <row r="18" spans="1:3" ht="14.25">
      <c r="A18" s="3203"/>
      <c r="B18" s="3201"/>
      <c r="C18" s="1172" t="s">
        <v>56</v>
      </c>
    </row>
    <row r="19" spans="1:3" ht="14.25">
      <c r="A19" s="3203"/>
      <c r="B19" s="3199" t="s">
        <v>57</v>
      </c>
      <c r="C19" s="3200"/>
    </row>
    <row r="20" spans="1:3" ht="14.25">
      <c r="A20" s="1173" t="s">
        <v>58</v>
      </c>
      <c r="B20" s="1174"/>
      <c r="C20" s="1175"/>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6" t="s">
        <v>838</v>
      </c>
    </row>
    <row r="25" spans="1:3" ht="14.25">
      <c r="A25" s="3202"/>
      <c r="B25" s="3206"/>
      <c r="C25" s="1176" t="s">
        <v>839</v>
      </c>
    </row>
    <row r="26" spans="1:3" ht="14.25">
      <c r="A26" s="3202"/>
      <c r="B26" s="3206"/>
      <c r="C26" s="1176" t="s">
        <v>840</v>
      </c>
    </row>
    <row r="27" spans="1:3" ht="14.25">
      <c r="A27" s="3202"/>
      <c r="B27" s="3206"/>
      <c r="C27" s="1176" t="s">
        <v>841</v>
      </c>
    </row>
    <row r="28" spans="1:3" ht="14.25">
      <c r="A28" s="3202"/>
      <c r="B28" s="3206"/>
      <c r="C28" s="1176" t="s">
        <v>842</v>
      </c>
    </row>
    <row r="29" spans="1:3" ht="14.25">
      <c r="A29" s="3202"/>
      <c r="B29" s="3206"/>
      <c r="C29" s="1176" t="s">
        <v>843</v>
      </c>
    </row>
    <row r="30" spans="1:3" ht="14.25">
      <c r="A30" s="3202"/>
      <c r="B30" s="3206"/>
      <c r="C30" s="1176" t="s">
        <v>844</v>
      </c>
    </row>
    <row r="31" spans="1:3" ht="14.25">
      <c r="A31" s="3202"/>
      <c r="B31" s="3206"/>
      <c r="C31" s="1176" t="s">
        <v>845</v>
      </c>
    </row>
    <row r="32" spans="1:3" ht="14.25">
      <c r="A32" s="3202"/>
      <c r="B32" s="3206"/>
      <c r="C32" s="1176" t="s">
        <v>1648</v>
      </c>
    </row>
    <row r="33" spans="1:3" ht="14.25">
      <c r="A33" s="3202"/>
      <c r="B33" s="3196" t="s">
        <v>1654</v>
      </c>
      <c r="C33" s="1176" t="s">
        <v>1649</v>
      </c>
    </row>
    <row r="34" spans="1:3" ht="14.25">
      <c r="A34" s="3202"/>
      <c r="B34" s="3197"/>
      <c r="C34" s="1181" t="s">
        <v>1650</v>
      </c>
    </row>
    <row r="35" spans="1:3" ht="14.25">
      <c r="A35" s="3202"/>
      <c r="B35" s="3197"/>
      <c r="C35" s="1182" t="s">
        <v>1651</v>
      </c>
    </row>
    <row r="36" spans="1:3" ht="14.25">
      <c r="A36" s="3202"/>
      <c r="B36" s="3197"/>
      <c r="C36" s="1182" t="s">
        <v>1652</v>
      </c>
    </row>
    <row r="37" spans="1:3" ht="14.25">
      <c r="A37" s="3202"/>
      <c r="B37" s="3198"/>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43076</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2579</v>
      </c>
      <c r="B15" s="2345">
        <v>1120070085</v>
      </c>
      <c r="C15" s="3034">
        <v>43814</v>
      </c>
      <c r="D15" s="2345" t="s">
        <v>2579</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07" t="s">
        <v>1930</v>
      </c>
      <c r="B25" s="3207"/>
      <c r="C25" s="3207"/>
      <c r="D25" s="3207"/>
      <c r="E25" s="3207"/>
      <c r="F25" s="3207"/>
      <c r="G25" s="3207"/>
    </row>
    <row r="26" spans="1:7" ht="20.25" customHeight="1">
      <c r="A26" s="3208" t="s">
        <v>1931</v>
      </c>
      <c r="B26" s="3208"/>
      <c r="C26" s="3208"/>
      <c r="D26" s="3208" t="s">
        <v>1932</v>
      </c>
      <c r="E26" s="3208"/>
      <c r="F26" s="3208"/>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2550</v>
      </c>
      <c r="R1" s="2608"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2" t="s">
        <v>2962</v>
      </c>
      <c r="C18" s="1555"/>
    </row>
    <row r="19" spans="1:3">
      <c r="A19" s="8" t="s">
        <v>120</v>
      </c>
      <c r="B19" s="3142" t="s">
        <v>2970</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佳欣置业有限公司拟使用浙江省杭州市富阳区银湖街道大山脚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09"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c r="D53" s="1769"/>
      <c r="E53" s="1769"/>
    </row>
    <row r="54" spans="1:5">
      <c r="A54" s="3209"/>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09"/>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09"/>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09"/>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2017-12-07T06:34:14Z</dcterms:modified>
</cp:coreProperties>
</file>