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5\"/>
    </mc:Choice>
  </mc:AlternateContent>
  <bookViews>
    <workbookView xWindow="480" yWindow="210" windowWidth="12120" windowHeight="762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收益法（汇总）" sheetId="70" state="hidden" r:id="rId23"/>
    <sheet name="酒店收入计算" sheetId="66" state="hidden" r:id="rId24"/>
    <sheet name="比较法-住宅" sheetId="21" r:id="rId25"/>
    <sheet name="收益法 (元)" sheetId="67" state="hidden" r:id="rId26"/>
    <sheet name="收益法" sheetId="15"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6">收益法!$A$1:$F$44</definedName>
    <definedName name="_xlnm.Print_Area" localSheetId="25">'收益法 (元)'!$A$1:$F$43</definedName>
    <definedName name="_xlnm.Print_Area" localSheetId="13">'数据-汇总表'!$A$1:$I$32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13" i="77" l="1"/>
  <c r="G8" i="77"/>
  <c r="V26" i="31"/>
  <c r="V27" i="31"/>
  <c r="V28" i="31"/>
  <c r="V29" i="31"/>
  <c r="V24" i="31"/>
  <c r="V25" i="31"/>
  <c r="V30" i="31"/>
  <c r="T5" i="3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D66" i="21"/>
  <c r="E66" i="21"/>
  <c r="F10" i="21"/>
  <c r="AA10" i="21"/>
  <c r="R48" i="21"/>
  <c r="H35" i="21"/>
  <c r="AB35" i="21"/>
  <c r="H36" i="21"/>
  <c r="AB36" i="21"/>
  <c r="H37" i="21"/>
  <c r="AB37" i="21"/>
  <c r="H38" i="21"/>
  <c r="AB38" i="21"/>
  <c r="H39" i="21"/>
  <c r="AB39" i="21"/>
  <c r="H40" i="21"/>
  <c r="AB40" i="21"/>
  <c r="H41" i="21"/>
  <c r="AB41" i="21"/>
  <c r="H42" i="21"/>
  <c r="AB42" i="21"/>
  <c r="H43" i="21"/>
  <c r="AB43" i="21"/>
  <c r="H44" i="21"/>
  <c r="AB44" i="21"/>
  <c r="H10" i="21"/>
  <c r="AB10" i="21"/>
  <c r="T48" i="21"/>
  <c r="J35" i="21"/>
  <c r="AC35" i="21"/>
  <c r="J36" i="21"/>
  <c r="AC36" i="21"/>
  <c r="J37" i="21"/>
  <c r="AC37" i="21"/>
  <c r="J38" i="21"/>
  <c r="AC38" i="21"/>
  <c r="J39" i="21"/>
  <c r="AC39" i="21"/>
  <c r="J40" i="21"/>
  <c r="AC40" i="21"/>
  <c r="J41" i="21"/>
  <c r="AC41" i="21"/>
  <c r="J42" i="21"/>
  <c r="AC42" i="21"/>
  <c r="J43" i="21"/>
  <c r="AC43" i="21"/>
  <c r="J44" i="21"/>
  <c r="AC44" i="21"/>
  <c r="J10" i="21"/>
  <c r="AC10" i="21"/>
  <c r="V48" i="21"/>
  <c r="R49" i="21"/>
  <c r="C49" i="21"/>
  <c r="B3" i="21"/>
  <c r="R6" i="1"/>
  <c r="E25" i="31"/>
  <c r="T7" i="31"/>
  <c r="G25" i="31"/>
  <c r="D10" i="31"/>
  <c r="E10" i="31"/>
  <c r="F10" i="31"/>
  <c r="G10" i="31"/>
  <c r="H10" i="31"/>
  <c r="I25" i="31"/>
  <c r="D6" i="31"/>
  <c r="E26" i="31"/>
  <c r="D8" i="31"/>
  <c r="E8" i="31"/>
  <c r="F8" i="31"/>
  <c r="G26" i="31"/>
  <c r="I26" i="31"/>
  <c r="E27" i="31"/>
  <c r="G27" i="31"/>
  <c r="I27" i="31"/>
  <c r="E28" i="31"/>
  <c r="G28" i="31"/>
  <c r="I28" i="31"/>
  <c r="E29" i="31"/>
  <c r="G29" i="31"/>
  <c r="I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15" i="74"/>
  <c r="H8" i="77"/>
  <c r="C15" i="74"/>
  <c r="H13" i="77"/>
  <c r="W6" i="1"/>
  <c r="B25" i="31"/>
  <c r="B26" i="31"/>
  <c r="B27" i="31"/>
  <c r="B28" i="31"/>
  <c r="B29" i="31"/>
  <c r="B24" i="31"/>
  <c r="A25" i="31"/>
  <c r="A26" i="31"/>
  <c r="A27" i="31"/>
  <c r="A28" i="31"/>
  <c r="A29" i="31"/>
  <c r="A24" i="31"/>
  <c r="D4" i="31"/>
  <c r="E4" i="31"/>
  <c r="F4" i="31"/>
  <c r="G4" i="31"/>
  <c r="H4" i="31"/>
  <c r="C4" i="31"/>
  <c r="H3" i="31"/>
  <c r="E3" i="31"/>
  <c r="F3" i="31"/>
  <c r="G3" i="31"/>
  <c r="D3" i="31"/>
  <c r="I47" i="21"/>
  <c r="E47" i="21"/>
  <c r="G47" i="21"/>
  <c r="C33" i="21"/>
  <c r="C37" i="21"/>
  <c r="I7" i="21"/>
  <c r="G7" i="21"/>
  <c r="E7" i="21"/>
  <c r="I13" i="3"/>
  <c r="C33" i="33"/>
  <c r="F33" i="33"/>
  <c r="AA33" i="33"/>
  <c r="C36" i="33"/>
  <c r="F36" i="33"/>
  <c r="AA36" i="33"/>
  <c r="R48" i="33"/>
  <c r="H33" i="33"/>
  <c r="AB33" i="33"/>
  <c r="H36" i="33"/>
  <c r="AB36" i="33"/>
  <c r="T48" i="33"/>
  <c r="J33" i="33"/>
  <c r="AC33" i="33"/>
  <c r="J36" i="33"/>
  <c r="AC36" i="33"/>
  <c r="V48" i="33"/>
  <c r="R49" i="33"/>
  <c r="C49" i="33"/>
  <c r="B3" i="33"/>
  <c r="F45" i="21"/>
  <c r="AA45" i="21"/>
  <c r="F46" i="21"/>
  <c r="AA46" i="21"/>
  <c r="H45" i="21"/>
  <c r="AB45" i="21"/>
  <c r="H46" i="21"/>
  <c r="AB46" i="21"/>
  <c r="J45" i="21"/>
  <c r="AC45" i="21"/>
  <c r="J46" i="21"/>
  <c r="AC46" i="21"/>
  <c r="A6" i="1"/>
  <c r="G1" i="67"/>
  <c r="F19" i="6"/>
  <c r="E19" i="6"/>
  <c r="K6" i="1"/>
  <c r="F15" i="67"/>
  <c r="B22" i="1"/>
  <c r="E1" i="73"/>
  <c r="F23" i="67"/>
  <c r="F33" i="67"/>
  <c r="BB13" i="3"/>
  <c r="BA13" i="3"/>
  <c r="AZ13" i="3"/>
  <c r="AZ5" i="3"/>
  <c r="H13" i="3"/>
  <c r="G13" i="3"/>
  <c r="G5" i="3"/>
  <c r="B3" i="3"/>
  <c r="AY6" i="3"/>
  <c r="D3" i="6"/>
  <c r="E3" i="6"/>
  <c r="D19" i="6"/>
  <c r="BA5" i="3"/>
  <c r="E27" i="6"/>
  <c r="K19" i="6"/>
  <c r="E32" i="6"/>
  <c r="L19" i="6"/>
  <c r="M19" i="6"/>
  <c r="I19" i="6"/>
  <c r="H19" i="6"/>
  <c r="R19" i="6"/>
  <c r="B52" i="1"/>
  <c r="F34" i="67"/>
  <c r="S6" i="1"/>
  <c r="E15" i="4"/>
  <c r="F6" i="1"/>
  <c r="J51" i="67"/>
  <c r="M47" i="67"/>
  <c r="G1" i="15"/>
  <c r="M47" i="15"/>
  <c r="J50" i="15"/>
  <c r="J51" i="15"/>
  <c r="L46" i="67"/>
  <c r="F15" i="15"/>
  <c r="C17" i="9"/>
  <c r="D17" i="9"/>
  <c r="C18" i="9"/>
  <c r="D18" i="9"/>
  <c r="C25" i="31"/>
  <c r="C26" i="31"/>
  <c r="C27" i="31"/>
  <c r="C28" i="31"/>
  <c r="C29" i="31"/>
  <c r="C30" i="31"/>
  <c r="C31" i="31"/>
  <c r="C32" i="31"/>
  <c r="E32" i="31"/>
  <c r="C33" i="31"/>
  <c r="C34" i="31"/>
  <c r="C35" i="31"/>
  <c r="C36" i="31"/>
  <c r="E36" i="31"/>
  <c r="C37" i="31"/>
  <c r="E37" i="31"/>
  <c r="C38" i="31"/>
  <c r="E38" i="31"/>
  <c r="C39" i="31"/>
  <c r="E39" i="31"/>
  <c r="C40" i="31"/>
  <c r="E40" i="31"/>
  <c r="C41" i="31"/>
  <c r="E41" i="31"/>
  <c r="I47" i="33"/>
  <c r="G47" i="33"/>
  <c r="E47" i="33"/>
  <c r="D111" i="33"/>
  <c r="E111" i="33"/>
  <c r="F111" i="33"/>
  <c r="G111" i="33"/>
  <c r="R47" i="33"/>
  <c r="D91" i="33"/>
  <c r="E91" i="33"/>
  <c r="F27" i="33"/>
  <c r="AA27" i="33"/>
  <c r="T47" i="33"/>
  <c r="H27" i="33"/>
  <c r="AB27" i="33"/>
  <c r="V47" i="33"/>
  <c r="J27" i="33"/>
  <c r="AC27" i="33"/>
  <c r="Y6" i="1"/>
  <c r="C3" i="31"/>
  <c r="I7" i="33"/>
  <c r="G7" i="33"/>
  <c r="E7" i="33"/>
  <c r="C15" i="3"/>
  <c r="C16" i="3"/>
  <c r="C17" i="3"/>
  <c r="C18" i="3"/>
  <c r="C19" i="3"/>
  <c r="C20" i="3"/>
  <c r="C21" i="3"/>
  <c r="C22" i="3"/>
  <c r="C23" i="3"/>
  <c r="C24" i="3"/>
  <c r="C25" i="3"/>
  <c r="C26" i="3"/>
  <c r="C27" i="3"/>
  <c r="C28" i="3"/>
  <c r="C29" i="3"/>
  <c r="C30" i="3"/>
  <c r="C14" i="3"/>
  <c r="C13" i="3"/>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67"/>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I10" i="31"/>
  <c r="J10" i="31"/>
  <c r="K10" i="31"/>
  <c r="L10" i="31"/>
  <c r="M10" i="31"/>
  <c r="N10" i="31"/>
  <c r="O10" i="31"/>
  <c r="P10" i="31"/>
  <c r="Q10" i="31"/>
  <c r="R10" i="31"/>
  <c r="S10"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2" i="49" s="1"/>
  <c r="B40" i="48"/>
  <c r="B3" i="72"/>
  <c r="I2" i="43"/>
  <c r="N1" i="43"/>
  <c r="F35" i="4"/>
  <c r="J55" i="39"/>
  <c r="H34" i="43"/>
  <c r="H35" i="43"/>
  <c r="H36" i="43"/>
  <c r="H37" i="43"/>
  <c r="H38" i="43"/>
  <c r="H39" i="43"/>
  <c r="A7" i="43"/>
  <c r="F33" i="15"/>
  <c r="F61" i="15"/>
  <c r="M19" i="15"/>
  <c r="M10" i="1"/>
  <c r="O10"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3" i="31"/>
  <c r="E34" i="31"/>
  <c r="E35"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F66" i="21"/>
  <c r="G66" i="21"/>
  <c r="H66" i="21"/>
  <c r="I66" i="21"/>
  <c r="D111" i="21"/>
  <c r="E111" i="21"/>
  <c r="F111" i="21"/>
  <c r="C111" i="21"/>
  <c r="D79" i="21"/>
  <c r="E79" i="21"/>
  <c r="F79" i="21"/>
  <c r="G79" i="21"/>
  <c r="D85" i="21"/>
  <c r="F19" i="21"/>
  <c r="AA19" i="21"/>
  <c r="E81" i="21"/>
  <c r="F81" i="21"/>
  <c r="G81" i="21"/>
  <c r="D77" i="21"/>
  <c r="E77" i="21"/>
  <c r="B130" i="21"/>
  <c r="B128" i="21"/>
  <c r="W45"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S43" i="21"/>
  <c r="U38" i="21"/>
  <c r="S38" i="21"/>
  <c r="S36" i="21"/>
  <c r="W40" i="21"/>
  <c r="J8" i="21"/>
  <c r="AC8" i="21"/>
  <c r="H8" i="21"/>
  <c r="U8" i="21"/>
  <c r="U39" i="21"/>
  <c r="J34" i="21"/>
  <c r="W34" i="21"/>
  <c r="U36" i="21"/>
  <c r="H26" i="21"/>
  <c r="AB26" i="2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F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G101" i="33"/>
  <c r="H101" i="33"/>
  <c r="I101" i="33"/>
  <c r="J101" i="33"/>
  <c r="K101" i="33"/>
  <c r="L101" i="33"/>
  <c r="M101" i="33"/>
  <c r="J32" i="33"/>
  <c r="S46" i="33"/>
  <c r="W43" i="33"/>
  <c r="S43" i="33"/>
  <c r="F91"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AA26" i="21"/>
  <c r="AB14" i="21"/>
  <c r="U40" i="21"/>
  <c r="AB31" i="21"/>
  <c r="U31" i="21"/>
  <c r="AC15" i="21"/>
  <c r="U13" i="21"/>
  <c r="AB13" i="21"/>
  <c r="W8" i="21"/>
  <c r="S35" i="21"/>
  <c r="W37" i="21"/>
  <c r="H15" i="21"/>
  <c r="U15" i="21"/>
  <c r="J17" i="21"/>
  <c r="AC17" i="21"/>
  <c r="AC19" i="21"/>
  <c r="W39" i="21"/>
  <c r="AC14" i="21"/>
  <c r="W30" i="21"/>
  <c r="S46" i="21"/>
  <c r="U45" i="21"/>
  <c r="F29" i="21"/>
  <c r="S29" i="21"/>
  <c r="F13" i="21"/>
  <c r="AA13" i="21"/>
  <c r="H32" i="21"/>
  <c r="H9" i="21"/>
  <c r="J9" i="21"/>
  <c r="J32" i="21"/>
  <c r="F32" i="21"/>
  <c r="AA31" i="21"/>
  <c r="U17" i="21"/>
  <c r="W29" i="21"/>
  <c r="S19" i="21"/>
  <c r="S9" i="21"/>
  <c r="AA9" i="21"/>
  <c r="K141" i="21"/>
  <c r="K144" i="21"/>
  <c r="K143" i="21"/>
  <c r="U27" i="21"/>
  <c r="AB25" i="21"/>
  <c r="AA30" i="21"/>
  <c r="W13" i="21"/>
  <c r="W42" i="21"/>
  <c r="K145" i="21"/>
  <c r="W17" i="21"/>
  <c r="W25" i="21"/>
  <c r="AA29" i="21"/>
  <c r="W31" i="21"/>
  <c r="S27" i="21"/>
  <c r="S17" i="21"/>
  <c r="AA15" i="21"/>
  <c r="AC27" i="21"/>
  <c r="AC26" i="21"/>
  <c r="AB29" i="21"/>
  <c r="S28" i="21"/>
  <c r="AC34" i="21"/>
  <c r="W10" i="21"/>
  <c r="W12" i="21"/>
  <c r="W30" i="40"/>
  <c r="C19" i="39"/>
  <c r="C15" i="40"/>
  <c r="C17" i="40"/>
  <c r="C23" i="40"/>
  <c r="C21" i="40"/>
  <c r="U30" i="40"/>
  <c r="B54" i="43"/>
  <c r="B65" i="43"/>
  <c r="B49" i="43"/>
  <c r="B52" i="43"/>
  <c r="B56" i="43"/>
  <c r="B60" i="43"/>
  <c r="B63" i="43"/>
  <c r="B67" i="43"/>
  <c r="B7" i="49"/>
  <c r="E22" i="49"/>
  <c r="D23" i="15"/>
  <c r="D22" i="15"/>
  <c r="B9" i="49"/>
  <c r="C4" i="4" s="1"/>
  <c r="B4" i="62" s="1"/>
  <c r="B71" i="72" s="1"/>
  <c r="B11" i="49"/>
  <c r="E21" i="49"/>
  <c r="E9" i="49"/>
  <c r="B6" i="49"/>
  <c r="E4" i="49"/>
  <c r="I54" i="67"/>
  <c r="I54"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M7" i="1"/>
  <c r="O7" i="1"/>
  <c r="Q16" i="1"/>
  <c r="F27" i="69"/>
  <c r="H16" i="1"/>
  <c r="K16" i="1"/>
  <c r="AC33" i="21"/>
  <c r="W33" i="21"/>
  <c r="S33" i="21"/>
  <c r="AA33" i="21"/>
  <c r="W32" i="21"/>
  <c r="AC32" i="21"/>
  <c r="AB9" i="21"/>
  <c r="U9" i="21"/>
  <c r="AA32" i="21"/>
  <c r="S32" i="21"/>
  <c r="W9" i="21"/>
  <c r="AC9" i="21"/>
  <c r="AB32" i="21"/>
  <c r="U32"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M16" i="1"/>
  <c r="N16" i="1"/>
  <c r="F27" i="11"/>
  <c r="E37" i="43"/>
  <c r="AA7" i="36"/>
  <c r="R36" i="36"/>
  <c r="E36" i="36"/>
  <c r="E40" i="36"/>
  <c r="F40" i="36"/>
  <c r="AC11" i="37"/>
  <c r="W11" i="37"/>
  <c r="AB7" i="37"/>
  <c r="T42" i="37"/>
  <c r="G42" i="37"/>
  <c r="G46" i="37"/>
  <c r="H46" i="37"/>
  <c r="W11" i="34"/>
  <c r="AC11" i="34"/>
  <c r="H20" i="6"/>
  <c r="B2" i="74"/>
  <c r="AB7" i="36"/>
  <c r="T36" i="36"/>
  <c r="E38" i="43"/>
  <c r="E6" i="3"/>
  <c r="C47" i="68"/>
  <c r="D45" i="68" s="1"/>
  <c r="AA10" i="39"/>
  <c r="D10" i="68"/>
  <c r="D19"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F34" i="68"/>
  <c r="C36" i="68" s="1"/>
  <c r="AC10" i="40"/>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C10" i="68"/>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23" i="12"/>
  <c r="D31" i="6"/>
  <c r="I6"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I63" i="40"/>
  <c r="H65" i="40"/>
  <c r="C39" i="11"/>
  <c r="I70" i="39"/>
  <c r="J63" i="40"/>
  <c r="I65" i="40"/>
  <c r="C46" i="11"/>
  <c r="C45" i="11"/>
  <c r="J70" i="39"/>
  <c r="K63" i="40"/>
  <c r="J65" i="40"/>
  <c r="K70" i="39"/>
  <c r="L63" i="40"/>
  <c r="K65" i="40"/>
  <c r="L70" i="39"/>
  <c r="E2" i="70"/>
  <c r="C34" i="69"/>
  <c r="C38" i="69" s="1"/>
  <c r="M63" i="40"/>
  <c r="L65" i="40"/>
  <c r="M70" i="39"/>
  <c r="C35" i="6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L46" i="15"/>
  <c r="F7" i="33"/>
  <c r="AA7" i="33"/>
  <c r="B2" i="33"/>
  <c r="B2" i="21"/>
  <c r="H109" i="9"/>
  <c r="H110" i="9"/>
  <c r="D18" i="53"/>
  <c r="B35" i="72"/>
  <c r="D124" i="9"/>
  <c r="D16" i="53"/>
  <c r="B34" i="72"/>
  <c r="D10" i="52"/>
  <c r="H14" i="74"/>
  <c r="D17" i="53"/>
  <c r="B36" i="72"/>
  <c r="D125" i="9"/>
  <c r="D11" i="52"/>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F7" i="15"/>
  <c r="F16" i="15"/>
  <c r="F26" i="15"/>
  <c r="F13" i="15"/>
  <c r="F38" i="15"/>
  <c r="L48" i="15"/>
  <c r="F8" i="67"/>
  <c r="F26" i="67"/>
  <c r="F36" i="67"/>
  <c r="F37" i="67"/>
  <c r="F42" i="67"/>
  <c r="M8" i="67"/>
  <c r="E8" i="76"/>
  <c r="E12" i="76"/>
  <c r="B11" i="76"/>
  <c r="B7" i="76"/>
  <c r="D3" i="73"/>
  <c r="D7" i="73"/>
  <c r="AO10" i="1"/>
  <c r="F4" i="73"/>
  <c r="F35" i="15"/>
  <c r="F43" i="67"/>
  <c r="M6" i="67"/>
  <c r="E11" i="76"/>
  <c r="B9" i="76"/>
  <c r="AO9" i="1"/>
  <c r="M24" i="15"/>
  <c r="M22" i="15"/>
  <c r="L47" i="15"/>
  <c r="M22" i="67"/>
  <c r="M29" i="15"/>
  <c r="F9" i="15"/>
  <c r="F40" i="15"/>
  <c r="F6" i="67"/>
  <c r="F40" i="67"/>
  <c r="E9" i="76"/>
  <c r="B10" i="76"/>
  <c r="F3" i="73"/>
  <c r="C76" i="67"/>
  <c r="M26" i="67"/>
  <c r="J15" i="67"/>
  <c r="M28" i="67"/>
  <c r="M23" i="67"/>
  <c r="M27" i="15"/>
  <c r="D2" i="37"/>
  <c r="D2" i="34"/>
  <c r="D2" i="35"/>
  <c r="M21" i="67"/>
  <c r="D2" i="36"/>
  <c r="B6" i="76"/>
  <c r="M27" i="67"/>
  <c r="F20" i="31"/>
  <c r="D35" i="9"/>
  <c r="F6" i="15"/>
  <c r="C14" i="15"/>
  <c r="F43" i="15"/>
  <c r="F36" i="15"/>
  <c r="F37" i="15"/>
  <c r="F42" i="15"/>
  <c r="M6" i="15"/>
  <c r="F7" i="67"/>
  <c r="F35" i="67"/>
  <c r="F13" i="67"/>
  <c r="F38" i="67"/>
  <c r="L48" i="67"/>
  <c r="M9" i="67"/>
  <c r="E10" i="76"/>
  <c r="B8" i="76"/>
  <c r="B13" i="76"/>
  <c r="F7" i="73"/>
  <c r="D6" i="73"/>
  <c r="AO11" i="1"/>
  <c r="F8" i="15"/>
  <c r="D5" i="73"/>
  <c r="M9" i="15"/>
  <c r="F16" i="67"/>
  <c r="E7" i="76"/>
  <c r="B12" i="76"/>
  <c r="F6" i="73"/>
  <c r="AO12" i="1"/>
  <c r="M24" i="67"/>
  <c r="M28" i="15"/>
  <c r="C76" i="15"/>
  <c r="M26" i="15"/>
  <c r="C20" i="9"/>
  <c r="D4" i="73"/>
  <c r="M8" i="15"/>
  <c r="F9" i="67"/>
  <c r="F41" i="67"/>
  <c r="E13" i="76"/>
  <c r="F5" i="73"/>
  <c r="AO13" i="1"/>
  <c r="M23" i="15"/>
  <c r="J15" i="15"/>
  <c r="L47" i="67"/>
  <c r="M29" i="67"/>
  <c r="M21" i="15"/>
  <c r="AO7" i="1"/>
  <c r="D2" i="21"/>
  <c r="C19" i="9"/>
  <c r="D34" i="9"/>
  <c r="D2" i="33"/>
  <c r="E6" i="76"/>
  <c r="E2" i="69"/>
  <c r="AO8" i="1"/>
  <c r="E2" i="68"/>
  <c r="R16" i="1" l="1"/>
  <c r="D19" i="69"/>
  <c r="C14" i="12"/>
  <c r="E11" i="49"/>
  <c r="B8" i="49"/>
  <c r="B4" i="49"/>
  <c r="E5" i="49"/>
  <c r="E10" i="49"/>
  <c r="E8" i="49"/>
  <c r="E16" i="49"/>
  <c r="B5" i="49"/>
  <c r="B14" i="49"/>
  <c r="C18" i="12"/>
  <c r="C19" i="68"/>
  <c r="D37" i="68"/>
  <c r="C37" i="68" s="1"/>
  <c r="C16" i="12"/>
  <c r="C10" i="69"/>
  <c r="C8" i="69" s="1"/>
  <c r="C5" i="69" s="1"/>
  <c r="C34" i="68"/>
  <c r="E2" i="76"/>
  <c r="B2" i="76"/>
  <c r="B2" i="36"/>
  <c r="B3" i="36" s="1"/>
  <c r="B8" i="70"/>
  <c r="J20" i="67"/>
  <c r="B2" i="35"/>
  <c r="B3" i="35" s="1"/>
  <c r="C102" i="9"/>
  <c r="C21" i="9"/>
  <c r="B2" i="34"/>
  <c r="B3" i="34" s="1"/>
  <c r="B2" i="37"/>
  <c r="B3" i="37" s="1"/>
  <c r="B7" i="70"/>
  <c r="J20" i="15"/>
  <c r="L58" i="67"/>
  <c r="L59" i="67"/>
  <c r="N59" i="67"/>
  <c r="M59" i="67"/>
  <c r="Q71" i="67"/>
  <c r="B13" i="70"/>
  <c r="F69" i="67"/>
  <c r="F68" i="67"/>
  <c r="C6" i="67"/>
  <c r="F68" i="15"/>
  <c r="E20" i="43"/>
  <c r="C103" i="9"/>
  <c r="Q71" i="15"/>
  <c r="M59" i="15"/>
  <c r="N59" i="15"/>
  <c r="L58" i="15"/>
  <c r="L59" i="15"/>
  <c r="B12" i="70"/>
  <c r="B9" i="70"/>
  <c r="F71" i="67"/>
  <c r="C34" i="15"/>
  <c r="F63" i="15"/>
  <c r="C62" i="15" s="1"/>
  <c r="K1" i="73"/>
  <c r="I1" i="73"/>
  <c r="B39" i="1" s="1"/>
  <c r="F51" i="15"/>
  <c r="B10" i="70"/>
  <c r="B11" i="70"/>
  <c r="J53" i="67"/>
  <c r="J60" i="67"/>
  <c r="Q48" i="67" s="1"/>
  <c r="J57" i="67"/>
  <c r="J55" i="67" s="1"/>
  <c r="J58" i="67" s="1"/>
  <c r="Q50" i="67" s="1"/>
  <c r="L57" i="67"/>
  <c r="L56" i="67"/>
  <c r="J59" i="67"/>
  <c r="L60" i="67"/>
  <c r="F70" i="67"/>
  <c r="F66" i="67"/>
  <c r="F65" i="67"/>
  <c r="F64" i="67"/>
  <c r="C34" i="67"/>
  <c r="F63" i="67"/>
  <c r="C62" i="67" s="1"/>
  <c r="C27" i="67"/>
  <c r="M7" i="67"/>
  <c r="J6" i="67" s="1"/>
  <c r="F50" i="67"/>
  <c r="F51" i="67"/>
  <c r="J53" i="15"/>
  <c r="L56" i="15"/>
  <c r="J57" i="15"/>
  <c r="J55" i="15" s="1"/>
  <c r="J58" i="15" s="1"/>
  <c r="Q50" i="15" s="1"/>
  <c r="J59" i="15"/>
  <c r="L57" i="15"/>
  <c r="J60" i="15"/>
  <c r="Q48" i="15" s="1"/>
  <c r="L60" i="15"/>
  <c r="F66" i="15"/>
  <c r="F65" i="15"/>
  <c r="F64" i="15"/>
  <c r="C27" i="15"/>
  <c r="F71" i="15"/>
  <c r="C18" i="15"/>
  <c r="C15" i="15"/>
  <c r="M7" i="15"/>
  <c r="J6" i="15" s="1"/>
  <c r="F50" i="15"/>
  <c r="C6" i="15"/>
  <c r="C19" i="69"/>
  <c r="D37" i="69"/>
  <c r="C37" i="69" s="1"/>
  <c r="C33" i="69" s="1"/>
  <c r="C47" i="69"/>
  <c r="D45" i="69" s="1"/>
  <c r="C29" i="69"/>
  <c r="D27" i="69" s="1"/>
  <c r="B23" i="49"/>
  <c r="B10" i="49"/>
  <c r="B16" i="49"/>
  <c r="E7" i="49"/>
  <c r="E6" i="49"/>
  <c r="B13" i="49"/>
  <c r="E4" i="4" s="1"/>
  <c r="C16" i="67"/>
  <c r="C14" i="67"/>
  <c r="G1" i="73"/>
  <c r="C17" i="15"/>
  <c r="C17" i="67"/>
  <c r="C16" i="15"/>
  <c r="C20" i="69" l="1"/>
  <c r="C49" i="67"/>
  <c r="C21" i="12"/>
  <c r="C22" i="12" s="1"/>
  <c r="C30" i="12" s="1"/>
  <c r="C28" i="12" s="1"/>
  <c r="C35" i="68"/>
  <c r="C38" i="68"/>
  <c r="C20" i="68"/>
  <c r="C28" i="68" s="1"/>
  <c r="C27" i="68" s="1"/>
  <c r="B40" i="1"/>
  <c r="C15" i="67"/>
  <c r="C18" i="67"/>
  <c r="C19" i="67"/>
  <c r="C19" i="15"/>
  <c r="Q57" i="15"/>
  <c r="Q66" i="15"/>
  <c r="F1" i="15"/>
  <c r="Q52" i="15"/>
  <c r="Q66" i="67"/>
  <c r="Q57" i="67"/>
  <c r="C49" i="15"/>
  <c r="Q61" i="15"/>
  <c r="Q74" i="15"/>
  <c r="Q61" i="67"/>
  <c r="Q74" i="67"/>
  <c r="B3" i="76"/>
  <c r="B5" i="62"/>
  <c r="B73" i="72" s="1"/>
  <c r="K4" i="4"/>
  <c r="B46" i="48" s="1"/>
  <c r="B4" i="72" s="1"/>
  <c r="C39" i="69"/>
  <c r="C28" i="69"/>
  <c r="C27" i="69" s="1"/>
  <c r="F1" i="67"/>
  <c r="Q52" i="67"/>
  <c r="F11" i="15"/>
  <c r="M11" i="67"/>
  <c r="J10" i="67" s="1"/>
  <c r="J5" i="67" s="1"/>
  <c r="F11" i="67"/>
  <c r="C53" i="67" s="1"/>
  <c r="M11" i="15"/>
  <c r="J10" i="15" s="1"/>
  <c r="J5" i="15" s="1"/>
  <c r="Q73" i="15"/>
  <c r="Q60" i="15"/>
  <c r="O17" i="43"/>
  <c r="M17" i="43"/>
  <c r="P17" i="43"/>
  <c r="N17" i="43"/>
  <c r="C10" i="67"/>
  <c r="C5" i="67" s="1"/>
  <c r="Q73" i="67"/>
  <c r="Q60" i="67"/>
  <c r="AE6" i="1"/>
  <c r="C48" i="67" l="1"/>
  <c r="C60" i="67" s="1"/>
  <c r="C33" i="68"/>
  <c r="C66" i="67"/>
  <c r="J26" i="15"/>
  <c r="J18" i="15"/>
  <c r="J24" i="15"/>
  <c r="J26" i="67"/>
  <c r="J29" i="67" s="1"/>
  <c r="J18" i="67"/>
  <c r="J24" i="67"/>
  <c r="C32" i="67"/>
  <c r="C38" i="67"/>
  <c r="C20" i="67"/>
  <c r="C26" i="67" s="1"/>
  <c r="C10" i="15"/>
  <c r="C5" i="15" s="1"/>
  <c r="C53" i="15"/>
  <c r="C46" i="69"/>
  <c r="C45" i="69" s="1"/>
  <c r="C48" i="15"/>
  <c r="C20" i="15"/>
  <c r="C26" i="15" s="1"/>
  <c r="F24" i="15"/>
  <c r="C24" i="15" s="1"/>
  <c r="F24" i="67"/>
  <c r="C24" i="67" s="1"/>
  <c r="F25" i="12"/>
  <c r="F22" i="68"/>
  <c r="F22" i="11"/>
  <c r="F22" i="69"/>
  <c r="C43" i="69" s="1"/>
  <c r="F41" i="15"/>
  <c r="C23" i="15" l="1"/>
  <c r="F69" i="15"/>
  <c r="C29" i="15"/>
  <c r="C36" i="15" s="1"/>
  <c r="J29" i="15"/>
  <c r="C39" i="68"/>
  <c r="C46" i="68" s="1"/>
  <c r="C45" i="68" s="1"/>
  <c r="C33" i="15"/>
  <c r="C13" i="15"/>
  <c r="J14" i="15"/>
  <c r="J19" i="15"/>
  <c r="Q49" i="15"/>
  <c r="C25" i="11"/>
  <c r="C44" i="11"/>
  <c r="D41" i="11" s="1"/>
  <c r="C23" i="11"/>
  <c r="C42" i="11"/>
  <c r="C43" i="11"/>
  <c r="C26" i="11"/>
  <c r="D22" i="11" s="1"/>
  <c r="C24" i="11"/>
  <c r="C26" i="12"/>
  <c r="D25" i="12" s="1"/>
  <c r="C27" i="12"/>
  <c r="C25" i="12" s="1"/>
  <c r="C23" i="67"/>
  <c r="C29" i="67" s="1"/>
  <c r="J17" i="15"/>
  <c r="C26" i="69"/>
  <c r="D22" i="69" s="1"/>
  <c r="C44" i="69"/>
  <c r="D41" i="69" s="1"/>
  <c r="C23" i="69"/>
  <c r="C25" i="69"/>
  <c r="C42" i="69"/>
  <c r="C41" i="69" s="1"/>
  <c r="C49" i="69" s="1"/>
  <c r="C51" i="69" s="1"/>
  <c r="C24" i="69"/>
  <c r="C23" i="68"/>
  <c r="C26" i="68"/>
  <c r="D22" i="68" s="1"/>
  <c r="C44" i="68"/>
  <c r="D41" i="68" s="1"/>
  <c r="C24" i="68"/>
  <c r="C25" i="68"/>
  <c r="C42" i="68"/>
  <c r="C66" i="15"/>
  <c r="C60" i="15"/>
  <c r="C43" i="68"/>
  <c r="C32" i="15"/>
  <c r="C38" i="15"/>
  <c r="C22" i="69" l="1"/>
  <c r="C31" i="69" s="1"/>
  <c r="C31" i="15"/>
  <c r="C32" i="12"/>
  <c r="B2" i="12" s="1"/>
  <c r="B3" i="12" s="1"/>
  <c r="C57" i="15"/>
  <c r="C64" i="15" s="1"/>
  <c r="C33" i="67"/>
  <c r="C31" i="67" s="1"/>
  <c r="C36" i="67"/>
  <c r="C13" i="67"/>
  <c r="Q49" i="67"/>
  <c r="J19" i="67"/>
  <c r="J17" i="67" s="1"/>
  <c r="J14" i="67"/>
  <c r="C57" i="67"/>
  <c r="C41" i="68"/>
  <c r="C49" i="68" s="1"/>
  <c r="C51" i="68" s="1"/>
  <c r="C41" i="11"/>
  <c r="C49" i="11" s="1"/>
  <c r="C51" i="11" s="1"/>
  <c r="C61" i="15"/>
  <c r="C59" i="15" s="1"/>
  <c r="C22" i="68"/>
  <c r="C31" i="68" s="1"/>
  <c r="C52" i="69"/>
  <c r="B2" i="69" s="1"/>
  <c r="B3" i="69" s="1"/>
  <c r="C22" i="11"/>
  <c r="C31" i="11" s="1"/>
  <c r="J13" i="15"/>
  <c r="J23" i="15" s="1"/>
  <c r="J22" i="15"/>
  <c r="C37" i="15"/>
  <c r="C30" i="15" s="1"/>
  <c r="C39" i="15" s="1"/>
  <c r="Q70" i="15"/>
  <c r="C56" i="15"/>
  <c r="C65" i="15" s="1"/>
  <c r="C75" i="15"/>
  <c r="J16" i="15" l="1"/>
  <c r="J25" i="15" s="1"/>
  <c r="C52" i="68"/>
  <c r="B2" i="68" s="1"/>
  <c r="B3" i="68" s="1"/>
  <c r="C40" i="15"/>
  <c r="Q69" i="15"/>
  <c r="Q68" i="15" s="1"/>
  <c r="C80" i="15"/>
  <c r="C79" i="15" s="1"/>
  <c r="C52" i="11"/>
  <c r="B2" i="11" s="1"/>
  <c r="B3" i="11" s="1"/>
  <c r="C57" i="69"/>
  <c r="C56" i="69" s="1"/>
  <c r="C58" i="15"/>
  <c r="C67" i="15" s="1"/>
  <c r="C68" i="15" s="1"/>
  <c r="J22" i="67"/>
  <c r="J13" i="67"/>
  <c r="J23" i="67" s="1"/>
  <c r="J16" i="67" s="1"/>
  <c r="J25" i="67" s="1"/>
  <c r="C61" i="67"/>
  <c r="C59" i="67" s="1"/>
  <c r="C64" i="67"/>
  <c r="C37" i="67"/>
  <c r="C56" i="67"/>
  <c r="C65" i="67" s="1"/>
  <c r="Q70" i="67"/>
  <c r="C75" i="67"/>
  <c r="C30" i="67"/>
  <c r="C39" i="67" s="1"/>
  <c r="L51" i="15"/>
  <c r="C57" i="68" l="1"/>
  <c r="C56" i="68" s="1"/>
  <c r="C56" i="11"/>
  <c r="C57" i="11" s="1"/>
  <c r="Q67" i="15"/>
  <c r="C40" i="67"/>
  <c r="Q69" i="67"/>
  <c r="Q68" i="67" s="1"/>
  <c r="C80" i="67"/>
  <c r="C79" i="67" s="1"/>
  <c r="C58" i="67"/>
  <c r="C67" i="67" s="1"/>
  <c r="C68" i="67" s="1"/>
  <c r="C71" i="15"/>
  <c r="C46" i="15"/>
  <c r="B2" i="15"/>
  <c r="C43" i="15"/>
  <c r="Q65" i="15"/>
  <c r="Q75" i="15" s="1"/>
  <c r="Q56" i="15"/>
  <c r="Q62" i="15" s="1"/>
  <c r="Q47" i="15"/>
  <c r="Q53" i="15" s="1"/>
  <c r="C83" i="15"/>
  <c r="C82" i="15" s="1"/>
  <c r="AO6" i="1"/>
  <c r="L51" i="67"/>
  <c r="D19" i="9"/>
  <c r="Q67" i="67" l="1"/>
  <c r="B6" i="70"/>
  <c r="B2" i="70" s="1"/>
  <c r="B3" i="70" s="1"/>
  <c r="D102" i="9"/>
  <c r="D21" i="9"/>
  <c r="D22" i="9"/>
  <c r="G19" i="9"/>
  <c r="C71" i="67"/>
  <c r="C45" i="67"/>
  <c r="C46" i="67" s="1"/>
  <c r="D2" i="67"/>
  <c r="Q65" i="67"/>
  <c r="Q75" i="67" s="1"/>
  <c r="Q56" i="67"/>
  <c r="Q62" i="67" s="1"/>
  <c r="Q47" i="67"/>
  <c r="Q53" i="67" s="1"/>
  <c r="C43" i="67"/>
  <c r="C83" i="67"/>
  <c r="C82" i="67" s="1"/>
  <c r="B3" i="15"/>
  <c r="D20" i="9"/>
  <c r="D103" i="9" l="1"/>
  <c r="G20" i="9"/>
  <c r="R24" i="31" s="1"/>
  <c r="C32" i="9"/>
  <c r="G21" i="9"/>
  <c r="B3" i="67"/>
  <c r="B2" i="67"/>
  <c r="R26" i="31" l="1"/>
  <c r="S26" i="31" s="1"/>
  <c r="R28" i="31"/>
  <c r="S28" i="31" s="1"/>
  <c r="S24" i="31"/>
  <c r="R25" i="31"/>
  <c r="S25" i="31" s="1"/>
  <c r="R27" i="31"/>
  <c r="S27" i="31" s="1"/>
  <c r="R29" i="31"/>
  <c r="S29" i="31" s="1"/>
  <c r="H118" i="9"/>
  <c r="C35" i="9"/>
  <c r="F118" i="9" s="1"/>
  <c r="F4" i="52" l="1"/>
  <c r="B51" i="72" s="1"/>
  <c r="F119" i="9"/>
  <c r="F5" i="52" s="1"/>
  <c r="B53" i="72" s="1"/>
  <c r="G118" i="9"/>
  <c r="G4" i="52" s="1"/>
  <c r="B52" i="72" s="1"/>
  <c r="C34" i="9"/>
  <c r="D118" i="9" s="1"/>
  <c r="C104" i="9"/>
  <c r="I118" i="9"/>
  <c r="H119" i="9"/>
  <c r="H5" i="52" s="1"/>
  <c r="H4" i="52"/>
  <c r="D14" i="74"/>
  <c r="H101" i="9"/>
  <c r="S22" i="31"/>
  <c r="H107" i="9" l="1"/>
  <c r="D5" i="53"/>
  <c r="D45" i="9"/>
  <c r="M48" i="9"/>
  <c r="H102" i="9"/>
  <c r="D7" i="53" s="1"/>
  <c r="B21" i="72" s="1"/>
  <c r="C105" i="9"/>
  <c r="E118" i="9"/>
  <c r="E4" i="52" s="1"/>
  <c r="B48" i="72" s="1"/>
  <c r="I4" i="52"/>
  <c r="D119" i="9"/>
  <c r="D5" i="52" s="1"/>
  <c r="B49" i="72" s="1"/>
  <c r="D4" i="52"/>
  <c r="B47" i="72" s="1"/>
  <c r="D15" i="74"/>
  <c r="B5" i="74" s="1"/>
  <c r="R22" i="31"/>
  <c r="B21" i="31" s="1"/>
  <c r="B20" i="31"/>
  <c r="E14" i="74"/>
  <c r="F14" i="74"/>
  <c r="C5" i="74" l="1"/>
  <c r="D5" i="74"/>
  <c r="B20" i="72"/>
  <c r="D6" i="53"/>
  <c r="B22" i="72" s="1"/>
  <c r="G15" i="74"/>
  <c r="E15" i="74"/>
  <c r="F15" i="74"/>
  <c r="D53" i="9"/>
  <c r="C93" i="9"/>
  <c r="C86" i="9" s="1"/>
  <c r="D52" i="9"/>
  <c r="C72" i="9"/>
  <c r="C85" i="9"/>
  <c r="C64" i="9"/>
  <c r="C63" i="9" s="1"/>
  <c r="C67" i="9" s="1"/>
  <c r="C68" i="9" s="1"/>
  <c r="D54" i="9" s="1"/>
  <c r="C78" i="9"/>
  <c r="C73" i="9" s="1"/>
  <c r="D55" i="9"/>
  <c r="M53" i="9" s="1"/>
  <c r="D122" i="9"/>
  <c r="D13" i="53"/>
  <c r="M49" i="9"/>
  <c r="H108" i="9"/>
  <c r="D15" i="53" s="1"/>
  <c r="B31" i="72" s="1"/>
  <c r="C95" i="9" l="1"/>
  <c r="C96" i="9" s="1"/>
  <c r="E96" i="9" s="1"/>
  <c r="E97" i="9" s="1"/>
  <c r="L68" i="9"/>
  <c r="M68" i="9" s="1"/>
  <c r="L65" i="9"/>
  <c r="M65" i="9" s="1"/>
  <c r="L66" i="9"/>
  <c r="M66" i="9" s="1"/>
  <c r="L64" i="9"/>
  <c r="M64" i="9" s="1"/>
  <c r="L63" i="9"/>
  <c r="M63" i="9" s="1"/>
  <c r="L67" i="9"/>
  <c r="M67" i="9" s="1"/>
  <c r="G14" i="74"/>
  <c r="B6" i="74" s="1"/>
  <c r="D123" i="9"/>
  <c r="D9" i="52" s="1"/>
  <c r="D8" i="52"/>
  <c r="D14" i="53"/>
  <c r="B32" i="72" s="1"/>
  <c r="B30" i="72"/>
  <c r="C79" i="9"/>
  <c r="C80" i="9" l="1"/>
  <c r="E80" i="9" s="1"/>
  <c r="E81" i="9" s="1"/>
  <c r="C97" i="9"/>
  <c r="D58" i="9" s="1"/>
  <c r="D56" i="9" s="1"/>
  <c r="M54" i="9" s="1"/>
  <c r="N57" i="9" s="1"/>
  <c r="D6" i="74"/>
  <c r="C6" i="74"/>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<sst xmlns="http://schemas.openxmlformats.org/spreadsheetml/2006/main" count="7561" uniqueCount="3200">
  <si>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</si>
  <si>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</si>
  <si>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</si>
  <si>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</si>
  <si>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</si>
  <si>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</si>
  <si>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</si>
  <si>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</si>
  <si>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</si>
  <si>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</si>
  <si>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</si>
  <si>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</si>
  <si>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</si>
  <si>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</si>
  <si>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</si>
  <si>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</si>
  <si>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</si>
  <si>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</si>
  <si>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</si>
  <si>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</si>
  <si>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</si>
  <si>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</si>
  <si>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</si>
  <si>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</si>
  <si>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</si>
  <si>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</si>
  <si>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</si>
  <si>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</si>
  <si>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</si>
  <si>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</si>
  <si>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</si>
  <si>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</si>
  <si>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</si>
  <si>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</si>
  <si>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</si>
  <si>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</si>
  <si>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</si>
  <si>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</si>
  <si>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</si>
  <si>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</si>
  <si>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</si>
  <si>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</si>
  <si>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</si>
  <si>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</si>
  <si>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</si>
  <si>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</si>
  <si>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</si>
  <si>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</si>
  <si>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</si>
  <si>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</si>
  <si>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</si>
  <si>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</si>
  <si>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</si>
  <si>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</si>
  <si>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</si>
  <si>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</si>
  <si>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</si>
  <si>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</si>
  <si>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</si>
  <si>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</si>
  <si>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</si>
  <si>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</si>
  <si>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</si>
  <si>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</si>
  <si>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</si>
  <si>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</si>
  <si>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</si>
  <si>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</si>
  <si>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</si>
  <si>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</si>
  <si>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</si>
  <si>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</si>
  <si>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</si>
  <si>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</si>
  <si>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</si>
  <si>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</si>
  <si>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</si>
  <si>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</si>
  <si>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</si>
  <si>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</si>
  <si>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</si>
  <si>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</si>
  <si>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</si>
  <si>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</si>
  <si>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</si>
  <si>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</si>
  <si>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</si>
  <si>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</si>
  <si>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</si>
  <si>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</si>
  <si>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</si>
  <si>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</si>
  <si>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</si>
  <si>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</si>
  <si>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</si>
  <si>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</si>
  <si>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</si>
  <si>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</si>
  <si>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</si>
  <si>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</si>
  <si>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</si>
  <si>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</si>
  <si>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</si>
  <si>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</si>
  <si>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</si>
  <si>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</si>
  <si>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</si>
  <si>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</si>
  <si>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</si>
  <si>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</si>
  <si>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</si>
  <si>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</si>
  <si>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</si>
  <si>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</si>
  <si>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</si>
  <si>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</si>
  <si>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</si>
  <si>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</si>
  <si>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</si>
  <si>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</si>
  <si>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</si>
  <si>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</si>
  <si>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</si>
  <si>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</si>
  <si>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</si>
  <si>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</si>
  <si>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</si>
  <si>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</si>
  <si>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</si>
  <si>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</si>
  <si>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</si>
  <si>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</si>
  <si>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</si>
  <si>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</si>
  <si>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</si>
  <si>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</si>
  <si>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</si>
  <si>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</si>
  <si>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</si>
  <si>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</si>
  <si>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</si>
  <si>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</si>
  <si>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</si>
  <si>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</si>
  <si>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</si>
  <si>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</si>
  <si>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</si>
  <si>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</si>
  <si>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</si>
  <si>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</si>
  <si>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</si>
  <si>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</si>
  <si>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</si>
  <si>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</si>
  <si>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</si>
  <si>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</si>
  <si>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</si>
  <si>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</si>
  <si>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</si>
  <si>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</si>
  <si>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</si>
  <si>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</si>
  <si>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</si>
  <si>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</si>
  <si>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</si>
  <si>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</si>
  <si>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</si>
  <si>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</si>
  <si>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</si>
  <si>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</si>
  <si>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</si>
  <si>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</si>
  <si>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</si>
  <si>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</si>
  <si>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</si>
  <si>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</si>
  <si>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</si>
  <si>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</si>
  <si>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</si>
  <si>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</si>
  <si>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</si>
  <si>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</si>
  <si>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</si>
  <si>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</si>
  <si>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</si>
  <si>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</si>
  <si>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</si>
  <si>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</si>
  <si>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</si>
  <si>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</si>
  <si>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</si>
  <si>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</si>
  <si>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</si>
  <si>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</si>
  <si>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</si>
  <si>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</si>
  <si>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</si>
  <si>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</si>
  <si>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</si>
  <si>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</si>
  <si>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</si>
  <si>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</si>
  <si>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</si>
  <si>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</si>
  <si>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</si>
  <si>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</si>
  <si>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</si>
  <si>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</si>
  <si>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</si>
  <si>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</si>
  <si>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</si>
  <si>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</si>
  <si>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</si>
  <si>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</si>
  <si>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</si>
  <si>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</si>
  <si>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</si>
  <si>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</si>
  <si>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</si>
  <si>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</si>
  <si>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</si>
  <si>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</si>
  <si>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</si>
  <si>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</si>
  <si>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</si>
  <si>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</si>
  <si>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</si>
  <si>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</si>
  <si>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</si>
  <si>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</si>
  <si>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</si>
  <si>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</si>
  <si>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</si>
  <si>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</si>
  <si>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</si>
  <si>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</si>
  <si>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</si>
  <si>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</si>
  <si>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</si>
  <si>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</si>
  <si>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</si>
  <si>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</si>
  <si>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</si>
  <si>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</si>
  <si>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</si>
  <si>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</si>
  <si>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</si>
  <si>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</si>
  <si>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</si>
  <si>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</si>
  <si>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</si>
  <si>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</si>
  <si>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</si>
  <si>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</si>
  <si>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</si>
  <si>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</si>
  <si>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</si>
  <si>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</si>
  <si>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</si>
  <si>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</si>
  <si>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</si>
  <si>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</si>
  <si>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</si>
  <si>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</si>
  <si>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</si>
  <si>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</si>
  <si>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</si>
  <si>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</si>
  <si>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</si>
  <si>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</si>
  <si>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</si>
  <si>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</si>
  <si>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</si>
  <si>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</si>
  <si>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</si>
  <si>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</si>
  <si>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</si>
  <si>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</si>
  <si>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</si>
  <si>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</si>
  <si>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</si>
  <si>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</si>
  <si>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</si>
  <si>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</si>
  <si>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</si>
  <si>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</si>
  <si>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</si>
  <si>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</si>
  <si>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</si>
  <si>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</si>
  <si>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</si>
  <si>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</si>
  <si>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</si>
  <si>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</si>
  <si>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</si>
  <si>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</si>
  <si>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</si>
  <si>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</si>
  <si>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</si>
  <si>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</si>
  <si>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</si>
  <si>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</si>
  <si>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</si>
  <si>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</si>
  <si>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</si>
  <si>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</si>
  <si>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</si>
  <si>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</si>
  <si>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</si>
  <si>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</si>
  <si>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</si>
  <si>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</si>
  <si>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</si>
  <si>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</si>
  <si>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</si>
  <si>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</si>
  <si>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</si>
  <si>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</si>
  <si>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</si>
  <si>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</si>
  <si>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</si>
  <si>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</si>
  <si>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</si>
  <si>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</si>
  <si>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</si>
  <si>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</si>
  <si>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</si>
  <si>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</si>
  <si>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</si>
  <si>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</si>
  <si>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</si>
  <si>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</si>
  <si>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</si>
  <si>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</si>
  <si>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</si>
  <si>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</si>
  <si>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</si>
  <si>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</si>
  <si>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</si>
  <si>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</si>
  <si>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</si>
  <si>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</si>
  <si>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</si>
  <si>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</si>
  <si>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</si>
  <si>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</si>
  <si>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</si>
  <si>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</si>
  <si>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</si>
  <si>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</si>
  <si>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</si>
  <si>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</si>
  <si>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</si>
  <si>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</si>
  <si>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</si>
  <si>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</si>
  <si>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</si>
  <si>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</si>
  <si>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</si>
  <si>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</si>
  <si>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</si>
  <si>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</si>
  <si>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</si>
  <si>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</si>
  <si>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</si>
  <si>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</si>
  <si>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</si>
  <si>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</si>
  <si>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</si>
  <si>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</si>
  <si>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</si>
  <si>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</si>
  <si>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</si>
  <si>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</si>
  <si>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</si>
  <si>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</si>
  <si>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</si>
  <si>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</si>
  <si>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</si>
  <si>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</si>
  <si>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</si>
  <si>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</si>
  <si>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</si>
  <si>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</si>
  <si>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</si>
  <si>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</si>
  <si>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</si>
  <si>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</si>
  <si>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</si>
  <si>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</si>
  <si>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</si>
  <si>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</si>
  <si>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</si>
  <si>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</si>
  <si>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</si>
  <si>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</si>
  <si>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</si>
  <si>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</si>
  <si>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</si>
  <si>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</si>
  <si>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</si>
  <si>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</si>
  <si>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</si>
  <si>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</si>
  <si>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</si>
  <si>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</si>
  <si>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</si>
  <si>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</si>
  <si>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</si>
  <si>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</si>
  <si>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</si>
  <si>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</si>
  <si>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</si>
  <si>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</si>
  <si>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</si>
  <si>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</si>
  <si>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</si>
  <si>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</si>
  <si>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</si>
  <si>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</si>
  <si>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</si>
  <si>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</si>
  <si>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</si>
  <si>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</si>
  <si>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</si>
  <si>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</si>
  <si>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</si>
  <si>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</si>
  <si>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</si>
  <si>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</si>
  <si>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</si>
  <si>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</si>
  <si>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</si>
  <si>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</si>
  <si>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</si>
  <si>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</si>
  <si>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</si>
  <si>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</si>
  <si>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</si>
  <si>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</si>
  <si>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</si>
  <si>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</si>
  <si>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</si>
  <si>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</si>
  <si>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</si>
  <si>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</si>
  <si>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</si>
  <si>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</si>
  <si>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</si>
  <si>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</si>
  <si>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</si>
  <si>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</si>
  <si>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</si>
  <si>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</si>
  <si>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</si>
  <si>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</si>
  <si>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</si>
  <si>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</si>
  <si>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</si>
  <si>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</si>
  <si>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</si>
  <si>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</si>
  <si>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</si>
  <si>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</si>
  <si>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</si>
  <si>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</si>
  <si>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</si>
  <si>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</si>
  <si>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</si>
  <si>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</si>
  <si>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</si>
  <si>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</si>
  <si>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</si>
  <si>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</si>
  <si>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</si>
  <si>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</si>
  <si>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</si>
  <si>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</si>
  <si>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</si>
  <si>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</si>
  <si>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</si>
  <si>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</si>
  <si>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</si>
  <si>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</si>
  <si>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</si>
  <si>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</si>
  <si>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</si>
  <si>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</si>
  <si>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</si>
  <si>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</si>
  <si>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</si>
  <si>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</si>
  <si>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</si>
  <si>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</si>
  <si>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</si>
  <si>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</si>
  <si>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</si>
  <si>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</si>
  <si>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</si>
  <si>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</si>
  <si>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</si>
  <si>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</si>
  <si>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</si>
  <si>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</si>
  <si>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</si>
  <si>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</si>
  <si>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</si>
  <si>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</si>
  <si>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</si>
  <si>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</si>
  <si>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</si>
  <si>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</si>
  <si>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</si>
  <si>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</si>
  <si>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</si>
  <si>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</si>
  <si>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</si>
  <si>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</si>
  <si>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</si>
  <si>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</si>
  <si>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</si>
  <si>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</si>
  <si>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</si>
  <si>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</si>
  <si>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</si>
  <si>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</si>
  <si>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</si>
  <si>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</si>
  <si>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</si>
  <si>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</si>
  <si>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</si>
  <si>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</si>
  <si>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</si>
  <si>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</si>
  <si>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</si>
  <si>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</si>
  <si>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</si>
  <si>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</si>
  <si>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</si>
  <si>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</si>
  <si>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</si>
  <si>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</si>
  <si>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</si>
  <si>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</si>
  <si>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</si>
  <si>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</si>
  <si>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</si>
  <si>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</si>
  <si>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</si>
  <si>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</si>
  <si>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</si>
  <si>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</si>
  <si>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</si>
  <si>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</si>
  <si>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</si>
  <si>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</si>
  <si>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</si>
  <si>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</si>
  <si>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</si>
  <si>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</si>
  <si>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</si>
  <si>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</si>
  <si>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</si>
  <si>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</si>
  <si>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</si>
  <si>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</si>
  <si>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</si>
  <si>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</si>
  <si>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</si>
  <si>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</si>
  <si>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</si>
  <si>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</si>
  <si>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</si>
  <si>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</si>
  <si>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</si>
  <si>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</si>
  <si>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</si>
  <si>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</si>
  <si>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</si>
  <si>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</si>
  <si>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</si>
  <si>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</si>
  <si>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</si>
  <si>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</si>
  <si>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</si>
  <si>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</si>
  <si>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</si>
  <si>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</si>
  <si>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</si>
  <si>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</si>
  <si>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</si>
  <si>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</si>
  <si>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</si>
  <si>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</si>
  <si>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</si>
  <si>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</si>
  <si>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</si>
  <si>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</si>
  <si>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</si>
  <si>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</si>
  <si>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</si>
  <si>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</si>
  <si>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</si>
  <si>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</si>
  <si>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</si>
  <si>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</si>
  <si>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</si>
  <si>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</si>
  <si>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</si>
  <si>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</si>
  <si>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</si>
  <si>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</si>
  <si>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</si>
  <si>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</si>
  <si>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</si>
  <si>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</si>
  <si>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</si>
  <si>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</si>
  <si>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</si>
  <si>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</si>
  <si>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</si>
  <si>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</si>
  <si>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</si>
  <si>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</si>
  <si>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</si>
  <si>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</si>
  <si>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</si>
  <si>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</si>
  <si>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</si>
  <si>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</si>
  <si>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</si>
  <si>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</si>
  <si>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</si>
  <si>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</si>
  <si>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</si>
  <si>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</si>
  <si>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</si>
  <si>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</si>
  <si>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</si>
  <si>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</si>
  <si>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</si>
  <si>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</si>
  <si>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</si>
  <si>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</si>
  <si>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</si>
  <si>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</si>
  <si>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</si>
  <si>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</si>
  <si>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</si>
  <si>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</si>
  <si>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</si>
  <si>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</si>
  <si>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</si>
  <si>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</si>
  <si>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</si>
  <si>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</si>
  <si>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</si>
  <si>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</si>
  <si>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</si>
  <si>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</si>
  <si>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</si>
  <si>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</si>
  <si>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</si>
  <si>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</si>
  <si>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</si>
  <si>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</si>
  <si>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</si>
  <si>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</si>
  <si>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</si>
  <si>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</si>
  <si>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</si>
  <si>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</si>
  <si>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</si>
  <si>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</si>
  <si>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</si>
  <si>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</si>
  <si>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</si>
  <si>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</si>
  <si>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</si>
  <si>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</si>
  <si>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</si>
  <si>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</si>
  <si>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</si>
  <si>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</si>
  <si>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</si>
  <si>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</si>
  <si>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</si>
  <si>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</si>
  <si>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</si>
  <si>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</si>
  <si>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</si>
  <si>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</si>
  <si>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</si>
  <si>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</si>
  <si>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</si>
  <si>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</si>
  <si>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</si>
  <si>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</si>
  <si>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</si>
  <si>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</si>
  <si>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</si>
  <si>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</si>
  <si>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</si>
  <si>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</si>
  <si>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</si>
  <si>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</si>
  <si>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</si>
  <si>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</si>
  <si>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</si>
  <si>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</si>
  <si>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</si>
  <si>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</si>
  <si>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</si>
  <si>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</si>
  <si>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</si>
  <si>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</si>
  <si>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</si>
  <si>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</si>
  <si>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</si>
  <si>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</si>
  <si>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</si>
  <si>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</si>
  <si>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</si>
  <si>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</si>
  <si>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</si>
  <si>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</si>
  <si>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</si>
  <si>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</si>
  <si>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</si>
  <si>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</si>
  <si>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</si>
  <si>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</si>
  <si>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</si>
  <si>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</si>
  <si>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</si>
  <si>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</si>
  <si>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</si>
  <si>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</si>
  <si>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</si>
  <si>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</si>
  <si>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</si>
  <si>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</si>
  <si>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</si>
  <si>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</si>
  <si>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</si>
  <si>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</si>
  <si>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</si>
  <si>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</si>
  <si>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</si>
  <si>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</si>
  <si>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</si>
  <si>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</si>
  <si>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</si>
  <si>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</si>
  <si>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</si>
  <si>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</si>
  <si>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</si>
  <si>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</si>
  <si>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</si>
  <si>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</si>
  <si>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</si>
  <si>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</si>
  <si>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</si>
  <si>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</si>
  <si>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</si>
  <si>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</si>
  <si>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</si>
  <si>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</si>
  <si>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</si>
  <si>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</si>
  <si>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</si>
  <si>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</si>
  <si>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</si>
  <si>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</si>
  <si>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</si>
  <si>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</si>
  <si>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</si>
  <si>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</si>
  <si>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</si>
  <si>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</si>
  <si>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</si>
  <si>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</si>
  <si>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</si>
  <si>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</si>
  <si>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</si>
  <si>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</si>
  <si>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</si>
  <si>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</si>
  <si>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</si>
  <si>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</si>
  <si>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</si>
  <si>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</si>
  <si>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</si>
  <si>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</si>
  <si>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</si>
  <si>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</si>
  <si>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</si>
  <si>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</si>
  <si>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</si>
  <si>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</si>
  <si>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</si>
  <si>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</si>
  <si>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</si>
  <si>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</si>
  <si>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</si>
  <si>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</si>
  <si>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</si>
  <si>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</si>
  <si>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</si>
  <si>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</si>
  <si>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</si>
  <si>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</si>
  <si>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</si>
  <si>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</si>
  <si>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</si>
  <si>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</si>
  <si>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</si>
  <si>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</si>
  <si>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</si>
  <si>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</si>
  <si>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</si>
  <si>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</si>
  <si>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</si>
  <si>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</si>
  <si>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</si>
  <si>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</si>
  <si>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</si>
  <si>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</si>
  <si>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</si>
  <si>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</si>
  <si>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</si>
  <si>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</si>
  <si>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</si>
  <si>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</si>
  <si>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</si>
  <si>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</si>
  <si>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</si>
  <si>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</si>
  <si>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</si>
  <si>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</si>
  <si>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</si>
  <si>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</si>
  <si>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</si>
  <si>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</si>
  <si>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</si>
  <si>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</si>
  <si>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</si>
  <si>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</si>
  <si>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</si>
  <si>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</si>
  <si>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</si>
  <si>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</si>
  <si>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</si>
  <si>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</si>
  <si>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</si>
  <si>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</si>
  <si>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</si>
  <si>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</si>
  <si>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</si>
  <si>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</si>
  <si>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</si>
  <si>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</si>
  <si>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</si>
  <si>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</si>
  <si>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</si>
  <si>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</si>
  <si>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</si>
  <si>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</si>
  <si>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</si>
  <si>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</si>
  <si>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</si>
  <si>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</si>
  <si>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</si>
  <si>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</si>
  <si>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</si>
  <si>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</si>
  <si>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</si>
  <si>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</si>
  <si>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</si>
  <si>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</si>
  <si>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</si>
  <si>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</si>
  <si>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</si>
  <si>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</si>
  <si>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</si>
  <si>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</si>
  <si>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</si>
  <si>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</si>
  <si>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</si>
  <si>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</si>
  <si>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</si>
  <si>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</si>
  <si>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</si>
  <si>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</si>
  <si>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</si>
  <si>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</si>
  <si>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</si>
  <si>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</si>
  <si>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</si>
  <si>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</si>
  <si>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</si>
  <si>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</si>
  <si>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</si>
  <si>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</si>
  <si>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</si>
  <si>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</si>
  <si>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</si>
  <si>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</si>
  <si>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</si>
  <si>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</si>
  <si>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</si>
  <si>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</si>
  <si>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</si>
  <si>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</si>
  <si>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</si>
  <si>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</si>
  <si>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</si>
  <si>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</si>
  <si>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</si>
  <si>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</si>
  <si>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</si>
  <si>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</si>
  <si>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</si>
  <si>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</si>
  <si>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</si>
  <si>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</si>
  <si>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</si>
  <si>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</si>
  <si>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</si>
  <si>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</si>
  <si>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</si>
  <si>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</si>
  <si>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</si>
  <si>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</si>
  <si>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</si>
  <si>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</si>
  <si>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</si>
  <si>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</si>
  <si>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</si>
  <si>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</si>
  <si>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</si>
  <si>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</si>
  <si>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</si>
  <si>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</si>
  <si>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</si>
  <si>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</si>
  <si>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</si>
  <si>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</si>
  <si>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</si>
  <si>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</si>
  <si>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</si>
  <si>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</si>
  <si>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</si>
  <si>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</si>
  <si>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</si>
  <si>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</si>
  <si>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</si>
  <si>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</si>
  <si>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</si>
  <si>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</si>
  <si>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</si>
  <si>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</si>
  <si>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</si>
  <si>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</si>
  <si>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</si>
  <si>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</si>
  <si>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</si>
  <si>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</si>
  <si>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</si>
  <si>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</si>
  <si>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</si>
  <si>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</si>
  <si>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</si>
  <si>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</si>
  <si>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</si>
  <si>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</si>
  <si>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</si>
  <si>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</si>
  <si>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</si>
  <si>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</si>
  <si>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</si>
  <si>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</si>
  <si>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</si>
  <si>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</si>
  <si>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</si>
  <si>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</si>
  <si>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</si>
  <si>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</si>
  <si>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</si>
  <si>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</si>
  <si>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</si>
  <si>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</si>
  <si>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</si>
  <si>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</si>
  <si>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</si>
  <si>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</si>
  <si>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</si>
  <si>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</si>
  <si>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</si>
  <si>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</si>
  <si>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</si>
  <si>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</si>
  <si>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</si>
  <si>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</si>
  <si>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</si>
  <si>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</si>
  <si>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</si>
  <si>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</si>
  <si>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</si>
  <si>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</si>
  <si>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</si>
  <si>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</si>
  <si>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</si>
  <si>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</si>
  <si>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</si>
  <si>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</si>
  <si>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</si>
  <si>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</si>
  <si>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</si>
  <si>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</si>
  <si>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</si>
  <si>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</si>
  <si>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</si>
  <si>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</si>
  <si>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</si>
  <si>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</si>
  <si>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</si>
  <si>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</si>
  <si>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</si>
  <si>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</si>
  <si>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</si>
  <si>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</si>
  <si>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</si>
  <si>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</si>
  <si>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</si>
  <si>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</si>
  <si>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</si>
  <si>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</si>
  <si>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</si>
  <si>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</si>
  <si>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</si>
  <si>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</si>
  <si>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</si>
  <si>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</si>
  <si>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</si>
  <si>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</si>
  <si>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</si>
  <si>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</si>
  <si>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</si>
  <si>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</si>
  <si>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</si>
  <si>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</si>
  <si>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</si>
  <si>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</si>
  <si>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</si>
  <si>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</si>
  <si>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</si>
  <si>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</si>
  <si>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</si>
  <si>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</si>
  <si>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</si>
  <si>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</si>
  <si>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</si>
  <si>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</si>
  <si>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</si>
  <si>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</si>
  <si>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</si>
  <si>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</si>
  <si>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</si>
  <si>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</si>
  <si>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</si>
  <si>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</si>
  <si>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</si>
  <si>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</si>
  <si>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</si>
  <si>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</si>
  <si>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</si>
  <si>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</si>
  <si>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</si>
  <si>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</si>
  <si>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</si>
  <si>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</si>
  <si>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</si>
  <si>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</si>
  <si>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</si>
  <si>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</si>
  <si>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</si>
  <si>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</si>
  <si>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</si>
  <si>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</si>
  <si>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</si>
  <si>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</si>
  <si>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</si>
  <si>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</si>
  <si>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</si>
  <si>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</si>
  <si>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</si>
  <si>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</si>
  <si>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</si>
  <si>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</si>
  <si>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</si>
  <si>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</si>
  <si>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</si>
  <si>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</si>
  <si>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</si>
  <si>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</si>
  <si>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</si>
  <si>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</si>
  <si>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</si>
  <si>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</si>
  <si>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</si>
  <si>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</si>
  <si>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</si>
  <si>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</si>
  <si>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</si>
  <si>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</si>
  <si>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</si>
  <si>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</si>
  <si>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</si>
  <si>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</si>
  <si>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</si>
  <si>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</si>
  <si>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</si>
  <si>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</si>
  <si>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</si>
  <si>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</si>
  <si>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</si>
  <si>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</si>
  <si>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</si>
  <si>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</si>
  <si>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</si>
  <si>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</si>
  <si>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</si>
  <si>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</si>
  <si>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</si>
  <si>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</si>
  <si>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</si>
  <si>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</si>
  <si>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</si>
  <si>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</si>
  <si>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</si>
  <si>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</si>
  <si>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</si>
  <si>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</si>
  <si>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</si>
  <si>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</si>
  <si>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</si>
  <si>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</si>
  <si>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</si>
  <si>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</si>
  <si>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</si>
  <si>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</si>
  <si>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</si>
  <si>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</si>
  <si>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</si>
  <si>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</si>
  <si>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</si>
  <si>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</si>
  <si>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</si>
  <si>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</si>
  <si>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</si>
  <si>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</si>
  <si>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</si>
  <si>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</si>
  <si>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</si>
  <si>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</si>
  <si>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</si>
  <si>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</si>
  <si>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</si>
  <si>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</si>
  <si>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</si>
  <si>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</si>
  <si>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</si>
  <si>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</si>
  <si>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</si>
  <si>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</si>
  <si>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</si>
  <si>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</si>
  <si>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</si>
  <si>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</si>
  <si>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</si>
  <si>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</si>
  <si>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</si>
  <si>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</si>
  <si>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</si>
  <si>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</si>
  <si>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</si>
  <si>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</si>
  <si>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</si>
  <si>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</si>
  <si>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</si>
  <si>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</si>
  <si>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</si>
  <si>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</si>
  <si>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</si>
  <si>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</si>
  <si>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</si>
  <si>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</si>
  <si>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</si>
  <si>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</si>
  <si>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</si>
  <si>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</si>
  <si>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</si>
  <si>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</si>
  <si>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</si>
  <si>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</si>
  <si>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</si>
  <si>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</si>
  <si>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</si>
  <si>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</si>
  <si>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</si>
  <si>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</si>
  <si>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</si>
  <si>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</si>
  <si>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</si>
  <si>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</si>
  <si>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</si>
  <si>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</si>
  <si>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</si>
  <si>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</si>
  <si>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</si>
  <si>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</si>
  <si>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</si>
  <si>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</si>
  <si>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</si>
  <si>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</si>
  <si>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</si>
  <si>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</si>
  <si>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</si>
  <si>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</si>
  <si>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</si>
  <si>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</si>
  <si>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</si>
  <si>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</si>
  <si>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</si>
  <si>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</si>
  <si>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</si>
  <si>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</si>
  <si>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</si>
  <si>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</si>
  <si>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</si>
  <si>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</si>
  <si>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</si>
  <si>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</si>
  <si>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</si>
  <si>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</si>
  <si>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</si>
  <si>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</si>
  <si>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</si>
  <si>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</si>
  <si>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</si>
  <si>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</si>
  <si>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</si>
  <si>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</si>
  <si>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</si>
  <si>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</si>
  <si>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</si>
  <si>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</si>
  <si>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</si>
  <si>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</si>
  <si>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</si>
  <si>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</si>
  <si>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</si>
  <si>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</si>
  <si>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</si>
  <si>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</si>
  <si>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</si>
  <si>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</si>
  <si>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</si>
  <si>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</si>
  <si>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</si>
  <si>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</si>
  <si>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</si>
  <si>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</si>
  <si>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</si>
  <si>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</si>
  <si>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</si>
  <si>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</si>
  <si>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</si>
  <si>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</si>
  <si>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</si>
  <si>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</si>
  <si>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</si>
  <si>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</si>
  <si>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</si>
  <si>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</si>
  <si>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</si>
  <si>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</si>
  <si>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</si>
  <si>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</si>
  <si>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</si>
  <si>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</si>
  <si>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</si>
  <si>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</si>
  <si>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</si>
  <si>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</si>
  <si>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</si>
  <si>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</si>
  <si>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</si>
  <si>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</si>
  <si>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</si>
  <si>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</si>
  <si>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</si>
  <si>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</si>
  <si>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</si>
  <si>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</si>
  <si>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</si>
  <si>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</si>
  <si>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</si>
  <si>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</si>
  <si>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</si>
  <si>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</si>
  <si>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</si>
  <si>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</si>
  <si>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</si>
  <si>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</si>
  <si>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</si>
  <si>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</si>
  <si>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</si>
  <si>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</si>
  <si>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</si>
  <si>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</si>
  <si>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</si>
  <si>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</si>
  <si>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</si>
  <si>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</si>
  <si>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</si>
  <si>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</si>
  <si>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</si>
  <si>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</si>
  <si>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</si>
  <si>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</si>
  <si>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</si>
  <si>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</si>
  <si>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</si>
  <si>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</si>
  <si>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</si>
  <si>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</si>
  <si>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</si>
  <si>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</si>
  <si>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</si>
  <si>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</si>
  <si>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</si>
  <si>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</si>
  <si>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</si>
  <si>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</si>
  <si>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</si>
  <si>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</si>
  <si>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</si>
  <si>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</si>
  <si>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</si>
  <si>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</si>
  <si>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</si>
  <si>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</si>
  <si>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</si>
  <si>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</si>
  <si>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</si>
  <si>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</si>
  <si>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</si>
  <si>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</si>
  <si>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</si>
  <si>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</si>
  <si>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</si>
  <si>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</si>
  <si>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</si>
  <si>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</si>
  <si>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</si>
  <si>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</si>
  <si>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</si>
  <si>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</si>
  <si>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</si>
  <si>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</si>
  <si>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</si>
  <si>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</si>
  <si>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</si>
  <si>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</si>
  <si>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</si>
  <si>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</si>
  <si>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</si>
  <si>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</si>
  <si>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</si>
  <si>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</si>
  <si>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</si>
  <si>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</si>
  <si>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</si>
  <si>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</si>
  <si>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</si>
  <si>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</si>
  <si>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</si>
  <si>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</si>
  <si>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</si>
  <si>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</si>
  <si>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</si>
  <si>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</si>
  <si>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</si>
  <si>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</si>
  <si>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</si>
  <si>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</si>
  <si>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</si>
  <si>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</si>
  <si>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</si>
  <si>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</si>
  <si>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</si>
  <si>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</si>
  <si>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</si>
  <si>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</si>
  <si>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</si>
  <si>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</si>
  <si>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</si>
  <si>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</si>
  <si>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</si>
  <si>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</si>
  <si>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</si>
  <si>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</si>
  <si>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</si>
  <si>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</si>
  <si>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</si>
  <si>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</si>
  <si>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</si>
  <si>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</si>
  <si>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</si>
  <si>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</si>
  <si>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</si>
  <si>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</si>
  <si>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</si>
  <si>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</si>
  <si>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</si>
  <si>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</si>
  <si>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</si>
  <si>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</si>
  <si>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</si>
  <si>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</si>
  <si>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</si>
  <si>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</si>
  <si>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</si>
  <si>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</si>
  <si>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</si>
  <si>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</si>
  <si>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</si>
  <si>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</si>
  <si>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</si>
  <si>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</si>
  <si>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</si>
  <si>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</si>
  <si>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</si>
  <si>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</si>
  <si>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</si>
  <si>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</si>
  <si>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</si>
  <si>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</si>
  <si>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</si>
  <si>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</si>
  <si>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</si>
  <si>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</si>
  <si>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</si>
  <si>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</si>
  <si>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</si>
  <si>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</si>
  <si>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</si>
  <si>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</si>
  <si>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</si>
  <si>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</si>
  <si>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</si>
  <si>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</si>
  <si>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</si>
  <si>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</si>
  <si>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</si>
  <si>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</si>
  <si>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</si>
  <si>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</si>
  <si>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</si>
  <si>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</si>
  <si>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</si>
  <si>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</si>
  <si>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</si>
  <si>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</si>
  <si>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</si>
  <si>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</si>
  <si>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</si>
  <si>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</si>
  <si>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</si>
  <si>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</si>
  <si>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</si>
  <si>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</si>
  <si>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</si>
  <si>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</si>
  <si>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</si>
  <si>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</si>
  <si>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</si>
  <si>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</si>
  <si>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</si>
  <si>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</si>
  <si>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</si>
  <si>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</si>
  <si>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</si>
  <si>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</si>
  <si>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</si>
  <si>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</si>
  <si>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</si>
  <si>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</si>
  <si>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</si>
  <si>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</si>
  <si>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</si>
  <si>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</si>
  <si>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</si>
  <si>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</si>
  <si>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</si>
  <si>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</si>
  <si>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</si>
  <si>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</si>
  <si>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</si>
  <si>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</si>
  <si>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</si>
  <si>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</si>
  <si>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</si>
  <si>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</si>
  <si>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</si>
  <si>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</si>
  <si>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</si>
  <si>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</si>
  <si>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</si>
  <si>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</si>
  <si>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</si>
  <si>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</si>
  <si>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</si>
  <si>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</si>
  <si>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</si>
  <si>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</si>
  <si>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</si>
  <si>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</si>
  <si>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</si>
  <si>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</si>
  <si>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</si>
  <si>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</si>
  <si>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</si>
  <si>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</si>
  <si>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</si>
  <si>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</si>
  <si>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</si>
  <si>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</si>
  <si>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</si>
  <si>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</si>
  <si>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</si>
  <si>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</si>
  <si>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</si>
  <si>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</si>
  <si>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</si>
  <si>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</si>
  <si>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</si>
  <si>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</si>
  <si>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</si>
  <si>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</si>
  <si>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</si>
  <si>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</si>
  <si>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</si>
  <si>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</si>
  <si>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</si>
  <si>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</si>
  <si>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</si>
  <si>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</si>
  <si>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</si>
  <si>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</si>
  <si>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</si>
  <si>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</si>
  <si>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</si>
  <si>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</si>
  <si>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</si>
  <si>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</si>
  <si>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</si>
  <si>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</si>
  <si>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</si>
  <si>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</si>
  <si>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</si>
  <si>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</si>
  <si>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</si>
  <si>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</si>
  <si>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</si>
  <si>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</si>
  <si>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</si>
  <si>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</si>
  <si>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</si>
  <si>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</si>
  <si>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</si>
  <si>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</si>
  <si>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</si>
  <si>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</si>
  <si>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</si>
  <si>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</si>
  <si>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</si>
  <si>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</si>
  <si>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</si>
  <si>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</si>
  <si>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</si>
  <si>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</si>
  <si>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</si>
  <si>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</si>
  <si>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</si>
  <si>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</si>
  <si>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</si>
  <si>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</si>
  <si>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</si>
  <si>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</si>
  <si>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</si>
  <si>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</si>
  <si>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</si>
  <si>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</si>
  <si>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</si>
  <si>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</si>
  <si>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</si>
  <si>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</si>
  <si>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</si>
  <si>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</si>
  <si>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</si>
  <si>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</si>
  <si>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</si>
  <si>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</si>
  <si>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</si>
  <si>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</si>
  <si>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</si>
  <si>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</si>
  <si>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</si>
  <si>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</si>
  <si>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</si>
  <si>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</si>
  <si>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</si>
  <si>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</si>
  <si>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</si>
  <si>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</si>
  <si>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</si>
  <si>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</si>
  <si>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</si>
  <si>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</si>
  <si>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</si>
  <si>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</si>
  <si>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</si>
  <si>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</si>
  <si>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</si>
  <si>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</si>
  <si>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</si>
  <si>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</si>
  <si>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</si>
  <si>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</si>
  <si>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</si>
  <si>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</si>
  <si>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</si>
  <si>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</si>
  <si>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</si>
  <si>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</si>
  <si>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</si>
  <si>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</si>
  <si>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</si>
  <si>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</si>
  <si>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</si>
  <si>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</si>
  <si>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</si>
  <si>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</si>
  <si>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</si>
  <si>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</si>
  <si>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</si>
  <si>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</si>
  <si>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</si>
  <si>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</si>
  <si>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</si>
  <si>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</si>
  <si>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</si>
  <si>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</si>
  <si>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</si>
  <si>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</si>
  <si>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</si>
  <si>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</si>
  <si>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</si>
  <si>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</si>
  <si>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</si>
  <si>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</si>
  <si>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</si>
  <si>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</si>
  <si>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</si>
  <si>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</si>
  <si>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</si>
  <si>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</si>
  <si>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</si>
  <si>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</si>
  <si>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</si>
  <si>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</si>
  <si>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</si>
  <si>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</si>
  <si>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</si>
  <si>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</si>
  <si>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</si>
  <si>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</si>
  <si>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</si>
  <si>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</si>
  <si>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</si>
  <si>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</si>
  <si>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</si>
  <si>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</si>
  <si>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</si>
  <si>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</si>
  <si>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</si>
  <si>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</si>
  <si>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</si>
  <si>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</si>
  <si>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</si>
  <si>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</si>
  <si>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</si>
  <si>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</si>
  <si>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</si>
  <si>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</si>
  <si>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</si>
  <si>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</si>
  <si>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</si>
  <si>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</si>
  <si>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</si>
  <si>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</si>
  <si>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</si>
  <si>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</si>
  <si>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</si>
  <si>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</si>
  <si>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</si>
  <si>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</si>
  <si>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</si>
  <si>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</si>
  <si>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</si>
  <si>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</si>
  <si>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</si>
  <si>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</si>
  <si>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</si>
  <si>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</si>
  <si>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</si>
  <si>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</si>
  <si>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</si>
  <si>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</si>
  <si>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</si>
  <si>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</si>
  <si>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</si>
  <si>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</si>
  <si>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</si>
  <si>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</si>
  <si>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</si>
  <si>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</si>
  <si>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</si>
  <si>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</si>
  <si>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</si>
  <si>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</si>
  <si>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</si>
  <si>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</si>
  <si>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</si>
  <si>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</si>
  <si>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</si>
  <si>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</si>
  <si>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</si>
  <si>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</si>
  <si>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</si>
  <si>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</si>
  <si>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</si>
  <si>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</si>
  <si>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</si>
  <si>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</si>
  <si>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</si>
  <si>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</si>
  <si>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</si>
  <si>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</si>
  <si>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</si>
  <si>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</si>
  <si>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</si>
  <si>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</si>
  <si>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</si>
  <si>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</si>
  <si>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</si>
  <si>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</si>
  <si>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</si>
  <si>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</si>
  <si>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</si>
  <si>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</si>
  <si>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</si>
  <si>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</si>
  <si>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</si>
  <si>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</si>
  <si>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</si>
  <si>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</si>
  <si>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</si>
  <si>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</si>
  <si>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</si>
  <si>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</si>
  <si>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</si>
  <si>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</si>
  <si>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</si>
  <si>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</si>
  <si>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</si>
  <si>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</si>
  <si>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</si>
  <si>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</si>
  <si>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</si>
  <si>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</si>
  <si>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</si>
  <si>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</si>
  <si>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</si>
  <si>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</si>
  <si>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</si>
  <si>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</si>
  <si>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</si>
  <si>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</si>
  <si>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</si>
  <si>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</si>
  <si>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</si>
  <si>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</si>
  <si>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</si>
  <si>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</si>
  <si>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</si>
  <si>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</si>
  <si>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</si>
  <si>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</si>
  <si>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</si>
  <si>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</si>
  <si>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</si>
  <si>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</si>
  <si>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</si>
  <si>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</si>
  <si>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</si>
  <si>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</si>
  <si>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</si>
  <si>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</si>
  <si>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</si>
  <si>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</si>
  <si>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</si>
  <si>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</si>
  <si>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</si>
  <si>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</si>
  <si>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</si>
  <si>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</si>
  <si>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</si>
  <si>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</si>
  <si>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</si>
  <si>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</si>
  <si>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</si>
  <si>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</si>
  <si>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</si>
  <si>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</si>
  <si>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</si>
  <si>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</si>
  <si>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</si>
  <si>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</si>
  <si>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</si>
  <si>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</si>
  <si>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</si>
  <si>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</si>
  <si>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</si>
  <si>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</si>
  <si>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</si>
  <si>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</si>
  <si>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</si>
  <si>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</si>
  <si>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</si>
  <si>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</si>
  <si>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</si>
  <si>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</si>
  <si>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</si>
  <si>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</si>
  <si>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</si>
  <si>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</si>
  <si>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</si>
  <si>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</si>
  <si>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</si>
  <si>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</si>
  <si>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</si>
  <si>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</si>
  <si>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</si>
  <si>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</si>
  <si>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</si>
  <si>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</si>
  <si>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</si>
  <si>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</si>
  <si>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</si>
  <si>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</si>
  <si>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</si>
  <si>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</si>
  <si>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</si>
  <si>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</si>
  <si>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</si>
  <si>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</si>
  <si>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</si>
  <si>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</si>
  <si>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</si>
  <si>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</si>
  <si>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</si>
  <si>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</si>
  <si>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</si>
  <si>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</si>
  <si>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</si>
  <si>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</si>
  <si>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</si>
  <si>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</si>
  <si>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</si>
  <si>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</si>
  <si>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</si>
  <si>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</si>
  <si>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</si>
  <si>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</si>
  <si>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</si>
  <si>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</si>
  <si>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</si>
  <si>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</si>
  <si>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</si>
  <si>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</si>
  <si>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</si>
  <si>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</si>
  <si>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</si>
  <si>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</si>
  <si>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</si>
  <si>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</si>
  <si>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</si>
  <si>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</si>
  <si>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</si>
  <si>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</si>
  <si>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</si>
  <si>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</si>
  <si>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</si>
  <si>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</si>
  <si>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</si>
  <si>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</si>
  <si>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</si>
  <si>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</si>
  <si>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</si>
  <si>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</si>
  <si>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</si>
  <si>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</si>
  <si>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</si>
  <si>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</si>
  <si>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</si>
  <si>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</si>
  <si>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</si>
  <si>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</si>
  <si>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</si>
  <si>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</si>
  <si>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</si>
  <si>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</si>
  <si>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</si>
  <si>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</si>
  <si>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</si>
  <si>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</si>
  <si>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</si>
  <si>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</si>
  <si>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</si>
  <si>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</si>
  <si>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</si>
  <si>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</si>
  <si>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</si>
  <si>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</si>
  <si>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</si>
  <si>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</si>
  <si>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</si>
  <si>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</si>
  <si>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</si>
  <si>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</si>
  <si>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</si>
  <si>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</si>
  <si>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</si>
  <si>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</si>
  <si>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</si>
  <si>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</si>
  <si>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</si>
  <si>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</si>
  <si>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</si>
  <si>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</si>
  <si>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</si>
  <si>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</si>
  <si>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</si>
  <si>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</si>
  <si>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</si>
  <si>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</si>
  <si>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</si>
  <si>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</si>
  <si>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</si>
  <si>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</si>
  <si>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</si>
  <si>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</si>
  <si>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</si>
  <si>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</si>
  <si>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</si>
  <si>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</si>
  <si>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</si>
  <si>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</si>
  <si>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</si>
  <si>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</si>
  <si>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</si>
  <si>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</si>
  <si>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</si>
  <si>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</si>
  <si>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</si>
  <si>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</si>
  <si>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</si>
  <si>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</si>
  <si>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</si>
  <si>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</si>
  <si>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</si>
  <si>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</si>
  <si>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</si>
  <si>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</si>
  <si>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</si>
  <si>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</si>
  <si>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</si>
  <si>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</si>
  <si>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</si>
  <si>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</si>
  <si>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</si>
  <si>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</si>
  <si>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</si>
  <si>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</si>
  <si>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</si>
  <si>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</si>
  <si>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</si>
  <si>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</si>
  <si>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</si>
  <si>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</si>
  <si>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</si>
  <si>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</si>
  <si>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</si>
  <si>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</si>
  <si>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</si>
  <si>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</si>
  <si>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</si>
  <si>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</si>
  <si>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</si>
  <si>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</si>
  <si>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</si>
  <si>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</si>
  <si>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</si>
  <si>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</si>
  <si>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</si>
  <si>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</si>
  <si>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</si>
  <si>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</si>
  <si>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</si>
  <si>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</si>
  <si>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</si>
  <si>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</si>
  <si>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</si>
  <si>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</si>
  <si>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</si>
  <si>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</si>
  <si>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</si>
  <si>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</si>
  <si>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</si>
  <si>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</si>
  <si>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</si>
  <si>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</si>
  <si>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</si>
  <si>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</si>
  <si>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</si>
  <si>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</si>
  <si>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</si>
  <si>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</si>
  <si>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</si>
  <si>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</si>
  <si>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</si>
  <si>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</si>
  <si>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</si>
  <si>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</si>
  <si>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</si>
  <si>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</si>
  <si>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</si>
  <si>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</si>
  <si>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</si>
  <si>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</si>
  <si>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</si>
  <si>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</si>
  <si>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</si>
  <si>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</si>
  <si>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</si>
  <si>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</si>
  <si>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</si>
  <si>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</si>
  <si>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</si>
  <si>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</si>
  <si>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</si>
  <si>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</si>
  <si>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</si>
  <si>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</si>
  <si>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</si>
  <si>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</si>
  <si>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</si>
  <si>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</si>
  <si>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</si>
  <si>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</si>
  <si>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</si>
  <si>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</si>
  <si>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</si>
  <si>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</si>
  <si>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</si>
  <si>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</si>
  <si>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</si>
  <si>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</si>
  <si>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</si>
  <si>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</si>
  <si>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</si>
  <si>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</si>
  <si>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</si>
  <si>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</si>
  <si>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</si>
  <si>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</si>
  <si>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</si>
  <si>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</si>
  <si>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</si>
  <si>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</si>
  <si>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</si>
  <si>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</si>
  <si>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</si>
  <si>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</si>
  <si>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</si>
  <si>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</si>
  <si>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</si>
  <si>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</si>
  <si>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</si>
  <si>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</si>
  <si>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</si>
  <si>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</si>
  <si>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</si>
  <si>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</si>
  <si>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</si>
  <si>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</si>
  <si>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</si>
  <si>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</si>
  <si>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</si>
  <si>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</si>
  <si>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</si>
  <si>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</si>
  <si>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</si>
  <si>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</si>
  <si>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</si>
  <si>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</si>
  <si>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</si>
  <si>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</si>
  <si>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</si>
  <si>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</si>
  <si>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</si>
  <si>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</si>
  <si>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</si>
  <si>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</si>
  <si>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</si>
  <si>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</si>
  <si>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</si>
  <si>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</si>
  <si>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</si>
  <si>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</si>
  <si>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</si>
  <si>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</si>
  <si>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</si>
  <si>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</si>
  <si>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</si>
  <si>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</si>
  <si>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</si>
  <si>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</si>
  <si>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</si>
  <si>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</si>
  <si>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</si>
  <si>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</si>
  <si>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</si>
  <si>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</si>
  <si>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</si>
  <si>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</si>
  <si>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</si>
  <si>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</si>
  <si>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</si>
  <si>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</si>
  <si>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</si>
  <si>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</si>
  <si>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</si>
  <si>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</si>
  <si>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</si>
  <si>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</si>
  <si>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</si>
  <si>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</si>
  <si>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</si>
  <si>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</si>
  <si>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</si>
  <si>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</si>
  <si>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</si>
  <si>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</si>
  <si>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</si>
  <si>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</si>
  <si>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</si>
  <si>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</si>
  <si>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</si>
  <si>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</si>
  <si>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</si>
  <si>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</si>
  <si>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</si>
  <si>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</si>
  <si>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</si>
  <si>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</si>
  <si>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</si>
  <si>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</si>
  <si>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</si>
  <si>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</si>
  <si>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</si>
  <si>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</si>
  <si>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</si>
  <si>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</si>
  <si>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</si>
  <si>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</si>
  <si>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</si>
  <si>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</si>
  <si>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</si>
  <si>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</si>
  <si>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</si>
  <si>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</si>
  <si>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</si>
  <si>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</si>
  <si>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</si>
  <si>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</si>
  <si>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</si>
  <si>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</si>
  <si>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</si>
  <si>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</si>
  <si>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</si>
  <si>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</si>
  <si>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</si>
  <si>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</si>
  <si>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</si>
  <si>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</si>
  <si>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</si>
  <si>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</si>
  <si>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</si>
  <si>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</si>
  <si>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</si>
  <si>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</si>
  <si>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</si>
  <si>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</si>
  <si>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</si>
  <si>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</si>
  <si>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</si>
  <si>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</si>
  <si>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</si>
  <si>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</si>
  <si>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</si>
  <si>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</si>
  <si>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</si>
  <si>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</si>
  <si>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</si>
  <si>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</si>
  <si>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</si>
  <si>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</si>
  <si>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</si>
  <si>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</si>
  <si>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</si>
  <si>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</si>
  <si>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</si>
  <si>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</si>
  <si>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</si>
  <si>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</si>
  <si>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</si>
  <si>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</si>
  <si>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</si>
  <si>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</si>
  <si>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</si>
  <si>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</si>
  <si>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</si>
  <si>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</si>
  <si>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</si>
  <si>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</si>
  <si>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</si>
  <si>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</si>
  <si>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</si>
  <si>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</si>
  <si>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</si>
  <si>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</si>
  <si>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</si>
  <si>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</si>
  <si>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</si>
  <si>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</si>
  <si>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</si>
  <si>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</si>
  <si>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</si>
  <si>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</si>
  <si>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</si>
  <si>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</si>
  <si>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</si>
  <si>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</si>
  <si>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</si>
  <si>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</si>
  <si>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</si>
  <si>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</si>
  <si>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</si>
  <si>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</si>
  <si>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</si>
  <si>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</si>
  <si>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</si>
  <si>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</si>
  <si>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</si>
  <si>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</si>
  <si>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</si>
  <si>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</si>
  <si>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</si>
  <si>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</si>
  <si>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</si>
  <si>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</si>
  <si>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</si>
  <si>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</si>
  <si>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</si>
  <si>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</si>
  <si>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</si>
  <si>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</si>
  <si>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</si>
  <si>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</si>
  <si>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</si>
  <si>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</si>
  <si>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</si>
  <si>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</si>
  <si>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</si>
  <si>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</si>
  <si>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</si>
  <si>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</si>
  <si>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</si>
  <si>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</si>
  <si>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</si>
  <si>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</si>
  <si>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</si>
  <si>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</si>
  <si>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</si>
  <si>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</si>
  <si>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</si>
  <si>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</si>
  <si>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</si>
  <si>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</si>
  <si>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</si>
  <si>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</si>
  <si>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</si>
  <si>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</si>
  <si>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</si>
  <si>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</si>
  <si>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</si>
  <si>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</si>
  <si>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</si>
  <si>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</si>
  <si>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</si>
  <si>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</si>
  <si>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</si>
  <si>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</si>
  <si>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</si>
  <si>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</si>
  <si>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</si>
  <si>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</si>
  <si>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</si>
  <si>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</si>
  <si>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</si>
  <si>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</si>
  <si>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</si>
  <si>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</si>
  <si>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</si>
  <si>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</si>
  <si>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</si>
  <si>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</si>
  <si>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</si>
  <si>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</si>
  <si>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</si>
  <si>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</si>
  <si>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</si>
  <si>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</si>
  <si>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</si>
  <si>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</si>
  <si>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</si>
  <si>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</si>
  <si>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</si>
  <si>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</si>
  <si>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</si>
  <si>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</si>
  <si>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</si>
  <si>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</si>
  <si>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</si>
  <si>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</si>
  <si>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</si>
  <si>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</si>
  <si>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</si>
  <si>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</si>
  <si>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</si>
  <si>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</si>
  <si>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</si>
  <si>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</si>
  <si>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</si>
  <si>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</si>
  <si>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</si>
  <si>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</si>
  <si>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</si>
  <si>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</si>
  <si>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</si>
  <si>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</si>
  <si>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</si>
  <si>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</si>
  <si>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</si>
  <si>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</si>
  <si>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</si>
  <si>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</si>
  <si>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</si>
  <si>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</si>
  <si>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</si>
  <si>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</si>
  <si>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</si>
  <si>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</si>
  <si>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</si>
  <si>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</si>
  <si>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</si>
  <si>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</si>
  <si>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</si>
  <si>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</si>
  <si>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</si>
  <si>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</si>
  <si>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</si>
  <si>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</si>
  <si>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</si>
  <si>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</si>
  <si>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</si>
  <si>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</si>
  <si>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</si>
  <si>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</si>
  <si>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</si>
  <si>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</si>
  <si>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</si>
  <si>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</si>
  <si>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</si>
  <si>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</si>
  <si>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</si>
  <si>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</si>
  <si>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</si>
  <si>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</si>
  <si>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</si>
  <si>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</si>
  <si>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</si>
  <si>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</si>
  <si>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</si>
  <si>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</si>
  <si>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</si>
  <si>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</si>
  <si>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</si>
  <si>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</si>
  <si>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</si>
  <si>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</si>
  <si>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</si>
  <si>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</si>
  <si>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</si>
  <si>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</si>
  <si>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</si>
  <si>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</si>
  <si>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</si>
  <si>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</si>
  <si>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</si>
  <si>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</si>
  <si>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</si>
  <si>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</si>
  <si>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</si>
  <si>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</si>
  <si>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</si>
  <si>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</si>
  <si>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</si>
  <si>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</si>
  <si>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</si>
  <si>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</si>
  <si>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</si>
  <si>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</si>
  <si>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</si>
  <si>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</si>
  <si>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</si>
  <si>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</si>
  <si>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</si>
  <si>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</si>
  <si>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</si>
  <si>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</si>
  <si>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</si>
  <si>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</si>
  <si>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</si>
  <si>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</si>
  <si>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</si>
  <si>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</si>
  <si>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</si>
  <si>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</si>
  <si>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</si>
  <si>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</si>
  <si>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</si>
  <si>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</si>
  <si>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</si>
  <si>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</si>
  <si>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</si>
  <si>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</si>
  <si>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</si>
  <si>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</si>
  <si>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</si>
  <si>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</si>
  <si>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</si>
  <si>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</si>
  <si>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</si>
  <si>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</si>
  <si>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</si>
  <si>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</si>
  <si>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</si>
  <si>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</si>
  <si>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</si>
  <si>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</si>
  <si>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</si>
  <si>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</si>
  <si>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</si>
  <si>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</si>
  <si>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</si>
  <si>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</si>
  <si>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</si>
  <si>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</si>
  <si>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</si>
  <si>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</si>
  <si>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</si>
  <si>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</si>
  <si>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</si>
  <si>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</si>
  <si>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</si>
  <si>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</si>
  <si>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</si>
  <si>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</si>
  <si>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</si>
  <si>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</si>
  <si>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</si>
  <si>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</si>
  <si>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</si>
  <si>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</si>
  <si>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</si>
  <si>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</si>
  <si>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</si>
  <si>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</si>
  <si>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</si>
  <si>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</si>
  <si>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</si>
  <si>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</si>
  <si>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</si>
  <si>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</si>
  <si>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</si>
  <si>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</si>
  <si>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</si>
  <si>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</si>
  <si>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</si>
  <si>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</si>
  <si>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</si>
  <si>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</si>
  <si>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</si>
  <si>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</si>
  <si>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</si>
  <si>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</si>
  <si>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</si>
  <si>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</si>
  <si>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</si>
  <si>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</si>
  <si>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</si>
  <si>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</si>
  <si>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</si>
  <si>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</si>
  <si>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</si>
  <si>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</si>
  <si>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</si>
  <si>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</si>
  <si>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</si>
  <si>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</si>
  <si>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</si>
  <si>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</si>
  <si>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</si>
  <si>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</si>
  <si>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</si>
  <si>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</si>
  <si>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</si>
  <si>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</si>
  <si>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</si>
  <si>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</si>
  <si>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</si>
  <si>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</si>
  <si>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</si>
  <si>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</si>
  <si>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</si>
  <si>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</si>
  <si>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</si>
  <si>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</si>
  <si>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</si>
  <si>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</si>
  <si>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</si>
  <si>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</si>
  <si>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</si>
  <si>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</si>
  <si>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</si>
  <si>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</si>
  <si>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</si>
  <si>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</si>
  <si>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</si>
  <si>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</si>
  <si>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</si>
  <si>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</si>
  <si>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</si>
  <si>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</si>
  <si>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</si>
  <si>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</si>
  <si>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</si>
  <si>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</si>
  <si>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</si>
  <si>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</si>
  <si>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</si>
  <si>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</si>
  <si>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</si>
  <si>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</si>
  <si>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</si>
  <si>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</si>
  <si>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</si>
  <si>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</si>
  <si>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</si>
  <si>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</si>
  <si>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</si>
  <si>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</si>
  <si>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</si>
  <si>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</si>
  <si>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</si>
  <si>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</si>
  <si>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</si>
  <si>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</si>
  <si>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</si>
  <si>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</si>
  <si>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</si>
  <si>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</si>
  <si>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</si>
  <si>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</si>
  <si>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</si>
  <si>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</si>
  <si>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</si>
  <si>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</si>
  <si>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</si>
  <si>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</si>
  <si>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</si>
  <si>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</si>
  <si>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</si>
  <si>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</si>
  <si>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</si>
  <si>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</si>
  <si>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</si>
  <si>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</si>
  <si>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</si>
  <si>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</si>
  <si>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</si>
  <si>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</si>
  <si>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</si>
  <si>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</si>
  <si>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</si>
  <si>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</si>
  <si>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</si>
  <si>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</si>
  <si>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</si>
  <si>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</si>
  <si>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</si>
  <si>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</si>
  <si>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</si>
  <si>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</si>
  <si>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</si>
  <si>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</si>
  <si>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</si>
  <si>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</si>
  <si>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</si>
  <si>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</si>
  <si>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</si>
  <si>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</si>
  <si>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</si>
  <si>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</si>
  <si>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</si>
  <si>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</si>
  <si>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</si>
  <si>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</si>
  <si>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</si>
  <si>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</si>
  <si>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</si>
  <si>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</si>
  <si>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</si>
  <si>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</si>
  <si>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</si>
  <si>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</si>
  <si>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</si>
  <si>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</si>
  <si>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</si>
  <si>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</si>
  <si>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</si>
  <si>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</si>
  <si>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</si>
  <si>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</si>
  <si>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</si>
  <si>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</si>
  <si>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</si>
  <si>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</si>
  <si>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</si>
  <si>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</si>
  <si>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</si>
  <si>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</si>
  <si>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</si>
  <si>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</si>
  <si>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</si>
  <si>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</si>
  <si>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</si>
  <si>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</si>
  <si>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</si>
  <si>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</si>
  <si>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</si>
  <si>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</si>
  <si>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</si>
  <si>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</si>
  <si>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</si>
  <si>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</si>
  <si>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</si>
  <si>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</si>
  <si>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</si>
  <si>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</si>
  <si>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</si>
  <si>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</si>
  <si>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</si>
  <si>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</si>
  <si>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</si>
  <si>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</si>
  <si>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</si>
  <si>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</si>
  <si>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</si>
  <si>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</si>
  <si>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</si>
  <si>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</si>
  <si>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</si>
  <si>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</si>
  <si>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</si>
  <si>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</si>
  <si>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</si>
  <si>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</si>
  <si>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</si>
  <si>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</si>
  <si>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</si>
  <si>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</si>
  <si>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</si>
  <si>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</si>
  <si>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</si>
  <si>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</si>
  <si>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</si>
  <si>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</si>
  <si>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</si>
  <si>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</si>
  <si>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</si>
  <si>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</si>
  <si>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</si>
  <si>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</si>
  <si>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</si>
  <si>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</si>
  <si>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</si>
  <si>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</si>
  <si>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</si>
  <si>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</si>
  <si>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</si>
  <si>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</si>
  <si>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</si>
  <si>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</si>
  <si>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</si>
  <si>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</si>
  <si>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</si>
  <si>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</si>
  <si>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</si>
  <si>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</si>
  <si>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</si>
  <si>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</si>
  <si>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</si>
  <si>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</si>
  <si>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</si>
  <si>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</si>
  <si>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</si>
  <si>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</si>
  <si>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</si>
  <si>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</si>
  <si>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</si>
  <si>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</si>
  <si>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</si>
  <si>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</si>
  <si>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</si>
  <si>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</si>
  <si>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</si>
  <si>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</si>
  <si>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</si>
  <si>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</si>
  <si>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</si>
  <si>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</si>
  <si>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</si>
  <si>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</si>
  <si>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</si>
  <si>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</si>
  <si>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</si>
  <si>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</si>
  <si>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</si>
  <si>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</si>
  <si>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</si>
  <si>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</si>
  <si>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</si>
  <si>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</si>
  <si>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</si>
  <si>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</si>
  <si>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</si>
  <si>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</si>
  <si>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</si>
  <si>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</si>
  <si>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</si>
  <si>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</si>
  <si>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</si>
  <si>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</si>
  <si>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</si>
  <si>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</si>
  <si>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</si>
  <si>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</si>
  <si>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</si>
  <si>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</si>
  <si>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</si>
  <si>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</si>
  <si>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</si>
  <si>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</si>
  <si>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</si>
  <si>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</si>
  <si>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</si>
  <si>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</si>
  <si>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</si>
  <si>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</si>
  <si>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</si>
  <si>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</si>
  <si>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</si>
  <si>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</si>
  <si>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</si>
  <si>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</si>
  <si>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</si>
  <si>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</si>
  <si>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</si>
  <si>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</si>
  <si>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</si>
  <si>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</si>
  <si>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</si>
  <si>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</si>
  <si>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</si>
  <si>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</si>
  <si>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</si>
  <si>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</si>
  <si>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</si>
  <si>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</si>
  <si>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</si>
  <si>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</si>
  <si>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</si>
  <si>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</si>
  <si>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</si>
  <si>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</si>
  <si>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</si>
  <si>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</si>
  <si>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</si>
  <si>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</si>
  <si>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</si>
  <si>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</si>
  <si>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</si>
  <si>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</si>
  <si>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</si>
  <si>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</si>
  <si>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</si>
  <si>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</si>
  <si>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</si>
  <si>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</si>
  <si>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</si>
  <si>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</si>
  <si>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</si>
  <si>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</si>
  <si>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</si>
  <si>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</si>
  <si>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</si>
  <si>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</si>
  <si>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</si>
  <si>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</si>
  <si>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</si>
  <si>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</si>
  <si>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</si>
  <si>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</si>
  <si>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</si>
  <si>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</si>
  <si>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</si>
  <si>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</si>
  <si>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</si>
  <si>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</si>
  <si>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</si>
  <si>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</si>
  <si>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</si>
  <si>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</si>
  <si>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</si>
  <si>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</si>
  <si>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</si>
  <si>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</si>
  <si>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</si>
  <si>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</si>
  <si>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</si>
  <si>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</si>
  <si>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</si>
  <si>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</si>
  <si>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</si>
  <si>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</si>
  <si>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</si>
  <si>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</si>
  <si>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</si>
  <si>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</si>
  <si>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</si>
  <si>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</si>
  <si>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</si>
  <si>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</si>
  <si>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</si>
  <si>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</si>
  <si>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</si>
  <si>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</si>
  <si>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</si>
  <si>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</si>
  <si>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</si>
  <si>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</si>
  <si>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</si>
  <si>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</si>
  <si>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</si>
  <si>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</si>
  <si>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</si>
  <si>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</si>
  <si>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</si>
  <si>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</si>
  <si>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</si>
  <si>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</si>
  <si>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</si>
  <si>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</si>
  <si>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</si>
  <si>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</si>
  <si>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</si>
  <si>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</si>
  <si>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</si>
  <si>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</si>
  <si>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</si>
  <si>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</si>
  <si>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</si>
  <si>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</si>
  <si>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</si>
  <si>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</si>
  <si>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</si>
  <si>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</si>
  <si>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</si>
  <si>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</si>
  <si>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</si>
  <si>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</si>
  <si>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</si>
  <si>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</si>
  <si>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</si>
  <si>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</si>
  <si>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</si>
  <si>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</si>
  <si>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</si>
  <si>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</si>
  <si>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</si>
  <si>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</si>
  <si>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</si>
  <si>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</si>
  <si>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</si>
  <si>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</si>
  <si>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</si>
  <si>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</si>
  <si>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</si>
  <si>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</si>
  <si>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</si>
  <si>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</si>
  <si>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</si>
  <si>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</si>
  <si>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</si>
  <si>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</si>
  <si>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</si>
  <si>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</si>
  <si>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</si>
  <si>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</si>
  <si>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</si>
  <si>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</si>
  <si>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</si>
  <si>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</si>
  <si>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</si>
  <si>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</si>
  <si>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</si>
  <si>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</si>
  <si>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</si>
  <si>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</si>
  <si>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</si>
  <si>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</si>
  <si>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</si>
  <si>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</si>
  <si>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</si>
  <si>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</si>
  <si>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</si>
  <si>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</si>
  <si>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</si>
  <si>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</si>
  <si>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</si>
  <si>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</si>
  <si>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</si>
  <si>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</si>
  <si>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</si>
  <si>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</si>
  <si>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</si>
  <si>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</si>
  <si>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</si>
  <si>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</si>
  <si>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</si>
  <si>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</si>
  <si>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</si>
  <si>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</si>
  <si>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</si>
  <si>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</si>
  <si>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</si>
  <si>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</si>
  <si>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</si>
  <si>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</si>
  <si>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</si>
  <si>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</si>
  <si>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</si>
  <si>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</si>
  <si>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</si>
  <si>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</si>
  <si>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</si>
  <si>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</si>
  <si>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</si>
  <si>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</si>
  <si>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</si>
  <si>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</si>
  <si>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</si>
  <si>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</si>
  <si>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</si>
  <si>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</si>
  <si>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</si>
  <si>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</si>
  <si>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</si>
  <si>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</si>
  <si>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</si>
  <si>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</si>
  <si>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</si>
  <si>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</si>
  <si>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</si>
  <si>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</si>
  <si>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</si>
  <si>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</si>
  <si>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</si>
  <si>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</si>
  <si>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</si>
  <si>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</si>
  <si>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</si>
  <si>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</si>
  <si>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</si>
  <si>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</si>
  <si>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</si>
  <si>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钢筋混凝土结构</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</si>
  <si>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</si>
  <si>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</si>
  <si>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</si>
  <si>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</si>
  <si>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</si>
  <si>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</si>
  <si>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</si>
  <si>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</si>
  <si>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t>企业</t>
  </si>
  <si>
    <t>出让</t>
  </si>
  <si>
    <t>商业</t>
    <phoneticPr fontId="6" type="noConversion"/>
  </si>
  <si>
    <t>建筑与土地面积依据相同</t>
  </si>
  <si>
    <t>是</t>
  </si>
  <si>
    <t>复印件</t>
  </si>
  <si>
    <t>居住项目</t>
  </si>
  <si>
    <t>无</t>
  </si>
  <si>
    <t>现房</t>
  </si>
  <si>
    <t>通路</t>
  </si>
  <si>
    <t>通电</t>
  </si>
  <si>
    <t>通讯</t>
  </si>
  <si>
    <t>通上水</t>
  </si>
  <si>
    <t>通下水</t>
  </si>
  <si>
    <t>燃气</t>
  </si>
  <si>
    <t>否</t>
  </si>
  <si>
    <t>地上</t>
  </si>
  <si>
    <t>成新度</t>
  </si>
  <si>
    <t>一般</t>
    <phoneticPr fontId="3" type="noConversion"/>
  </si>
  <si>
    <t>六通</t>
    <phoneticPr fontId="3" type="noConversion"/>
  </si>
  <si>
    <t>不临街</t>
  </si>
  <si>
    <t>项目全部</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</si>
  <si>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</si>
  <si>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</si>
  <si>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</si>
  <si>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</si>
  <si>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</si>
  <si>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</si>
  <si>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</si>
  <si>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</si>
  <si>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</si>
  <si>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</si>
  <si>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</si>
  <si>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</si>
  <si>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</si>
  <si>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</si>
  <si>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</si>
  <si>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</si>
  <si>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</si>
  <si>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</si>
  <si>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</si>
  <si>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</si>
  <si>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</si>
  <si>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</si>
  <si>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</si>
  <si>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</si>
  <si>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</si>
  <si>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</si>
  <si>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</si>
  <si>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</si>
  <si>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</si>
  <si>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</si>
  <si>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</si>
  <si>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</si>
  <si>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</si>
  <si>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</si>
  <si>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</si>
  <si>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</si>
  <si>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</si>
  <si>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</si>
  <si>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</si>
  <si>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</si>
  <si>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</si>
  <si>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</si>
  <si>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</si>
  <si>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</si>
  <si>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</si>
  <si>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</si>
  <si>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</si>
  <si>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</si>
  <si>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非生产用房</t>
  </si>
  <si>
    <t>底商101</t>
  </si>
  <si>
    <t>分摊土地</t>
    <phoneticPr fontId="143" type="noConversion"/>
  </si>
  <si>
    <t>商业45.06</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</si>
  <si>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2016</t>
    </r>
    <r>
      <rPr>
        <sz val="12"/>
        <rFont val="宋体"/>
        <family val="3"/>
        <charset val="134"/>
      </rPr>
      <t>）广州市不动产权第</t>
    </r>
    <r>
      <rPr>
        <sz val="12"/>
        <rFont val="Arial"/>
        <family val="2"/>
      </rPr>
      <t>09204332</t>
    </r>
    <r>
      <rPr>
        <sz val="12"/>
        <rFont val="宋体"/>
        <family val="3"/>
        <charset val="134"/>
      </rPr>
      <t>号等</t>
    </r>
    <r>
      <rPr>
        <sz val="12"/>
        <rFont val="Arial"/>
        <family val="2"/>
      </rPr>
      <t>15</t>
    </r>
    <r>
      <rPr>
        <sz val="12"/>
        <rFont val="宋体"/>
        <family val="3"/>
        <charset val="134"/>
      </rPr>
      <t>本</t>
    </r>
    <r>
      <rPr>
        <sz val="12"/>
        <rFont val="Arial"/>
        <family val="2"/>
      </rPr>
      <t>]</t>
    </r>
    <phoneticPr fontId="6" type="noConversion"/>
  </si>
  <si>
    <t>《不动产权证书》[粤（2016）广州市不动产权第09204332号等15本]</t>
    <phoneticPr fontId="6" type="noConversion"/>
  </si>
  <si>
    <t>住宅</t>
    <phoneticPr fontId="7" type="noConversion"/>
  </si>
  <si>
    <t>广州从化方圆房地产发展有限公司</t>
    <phoneticPr fontId="3" type="noConversion"/>
  </si>
  <si>
    <t>住宅</t>
    <phoneticPr fontId="3" type="noConversion"/>
  </si>
  <si>
    <t>从化市温泉镇明月山溪大道明月里一街7号</t>
    <phoneticPr fontId="3" type="noConversion"/>
  </si>
  <si>
    <t>从化市温泉镇明月山溪大道明月里一街9号</t>
    <phoneticPr fontId="3" type="noConversion"/>
  </si>
  <si>
    <t>从化市温泉镇明月山溪大道明月里二街1号</t>
    <phoneticPr fontId="257" type="noConversion"/>
  </si>
  <si>
    <t>粤（2016）广州市不动产权第09204332号</t>
    <phoneticPr fontId="3" type="noConversion"/>
  </si>
  <si>
    <t>广州从化方圆房地产发展有限公司</t>
    <phoneticPr fontId="3" type="noConversion"/>
  </si>
  <si>
    <t>钢筋混凝土结构</t>
    <phoneticPr fontId="3" type="noConversion"/>
  </si>
  <si>
    <t>住宅</t>
    <phoneticPr fontId="3" type="noConversion"/>
  </si>
  <si>
    <t>粤（2016）广州市不动产权第09204326号</t>
    <phoneticPr fontId="3" type="noConversion"/>
  </si>
  <si>
    <t>从化市温泉镇明月山溪大道明月里一街3号</t>
    <phoneticPr fontId="3" type="noConversion"/>
  </si>
  <si>
    <t>从化市温泉镇明月山溪大道明月里一街5号</t>
    <phoneticPr fontId="3" type="noConversion"/>
  </si>
  <si>
    <t>精装</t>
  </si>
  <si>
    <t>精装</t>
    <phoneticPr fontId="143" type="noConversion"/>
  </si>
  <si>
    <t>住宅独栋别墅</t>
  </si>
  <si>
    <t>住宅</t>
  </si>
  <si>
    <t>按房产原值计税</t>
  </si>
  <si>
    <t>独栋</t>
  </si>
  <si>
    <t>毛坯</t>
    <phoneticPr fontId="143" type="noConversion"/>
  </si>
  <si>
    <t>毛坯</t>
    <phoneticPr fontId="143" type="noConversion"/>
  </si>
  <si>
    <t>毛坯</t>
    <phoneticPr fontId="143" type="noConversion"/>
  </si>
  <si>
    <t>毛坯</t>
    <phoneticPr fontId="143" type="noConversion"/>
  </si>
  <si>
    <t>收益法</t>
  </si>
  <si>
    <t>富力泉天下</t>
    <phoneticPr fontId="3" type="noConversion"/>
  </si>
  <si>
    <t>住宅</t>
    <phoneticPr fontId="25" type="noConversion"/>
  </si>
  <si>
    <t>40-50（含）</t>
  </si>
  <si>
    <t>全朝向</t>
    <phoneticPr fontId="25" type="noConversion"/>
  </si>
  <si>
    <t>南北</t>
  </si>
  <si>
    <t>南北</t>
    <phoneticPr fontId="25" type="noConversion"/>
  </si>
  <si>
    <t>南</t>
    <phoneticPr fontId="25" type="noConversion"/>
  </si>
  <si>
    <t>东</t>
    <phoneticPr fontId="25" type="noConversion"/>
  </si>
  <si>
    <t>西</t>
    <phoneticPr fontId="25" type="noConversion"/>
  </si>
  <si>
    <t>北</t>
    <phoneticPr fontId="25" type="noConversion"/>
  </si>
  <si>
    <t>独栋</t>
    <phoneticPr fontId="25" type="noConversion"/>
  </si>
  <si>
    <t>叠拼</t>
    <phoneticPr fontId="25" type="noConversion"/>
  </si>
  <si>
    <t>联排</t>
    <phoneticPr fontId="25" type="noConversion"/>
  </si>
  <si>
    <t>钢混</t>
    <phoneticPr fontId="25" type="noConversion"/>
  </si>
  <si>
    <t>混合</t>
    <phoneticPr fontId="25" type="noConversion"/>
  </si>
  <si>
    <t>高端</t>
  </si>
  <si>
    <t>高端</t>
    <phoneticPr fontId="25" type="noConversion"/>
  </si>
  <si>
    <t>中端</t>
    <phoneticPr fontId="25" type="noConversion"/>
  </si>
  <si>
    <t>精装</t>
    <phoneticPr fontId="25" type="noConversion"/>
  </si>
  <si>
    <t>普装</t>
    <phoneticPr fontId="25" type="noConversion"/>
  </si>
  <si>
    <t>简装</t>
    <phoneticPr fontId="25" type="noConversion"/>
  </si>
  <si>
    <t>毛坯</t>
    <phoneticPr fontId="25" type="noConversion"/>
  </si>
  <si>
    <t>专业</t>
  </si>
  <si>
    <t>专业</t>
    <phoneticPr fontId="25" type="noConversion"/>
  </si>
  <si>
    <t>普通</t>
    <phoneticPr fontId="25" type="noConversion"/>
  </si>
  <si>
    <t>较好</t>
    <phoneticPr fontId="25" type="noConversion"/>
  </si>
  <si>
    <t>50-60（含）</t>
  </si>
  <si>
    <t>一般</t>
    <phoneticPr fontId="3" type="noConversion"/>
  </si>
  <si>
    <t>一般</t>
    <phoneticPr fontId="3" type="noConversion"/>
  </si>
  <si>
    <t>花园</t>
    <phoneticPr fontId="25" type="noConversion"/>
  </si>
  <si>
    <t>电梯</t>
    <phoneticPr fontId="25" type="noConversion"/>
  </si>
  <si>
    <t>是</t>
    <phoneticPr fontId="25" type="noConversion"/>
  </si>
  <si>
    <t>是</t>
    <phoneticPr fontId="25" type="noConversion"/>
  </si>
  <si>
    <t>是</t>
    <phoneticPr fontId="25" type="noConversion"/>
  </si>
  <si>
    <t>是</t>
    <phoneticPr fontId="25" type="noConversion"/>
  </si>
  <si>
    <t>水系</t>
    <phoneticPr fontId="25" type="noConversion"/>
  </si>
  <si>
    <t>否</t>
    <phoneticPr fontId="25" type="noConversion"/>
  </si>
  <si>
    <t>自定义</t>
  </si>
  <si>
    <t>是否有水系</t>
    <phoneticPr fontId="3" type="noConversion"/>
  </si>
  <si>
    <t>比较法-住宅</t>
  </si>
  <si>
    <t>装修</t>
    <phoneticPr fontId="3" type="noConversion"/>
  </si>
  <si>
    <t>普装</t>
    <phoneticPr fontId="25" type="noConversion"/>
  </si>
  <si>
    <t>毛坯</t>
    <phoneticPr fontId="25" type="noConversion"/>
  </si>
  <si>
    <r>
      <rPr>
        <sz val="12"/>
        <rFont val="宋体"/>
        <family val="3"/>
        <charset val="134"/>
      </rPr>
      <t>广东省广州市从化区温泉镇明月山溪大道明月里二街</t>
    </r>
    <r>
      <rPr>
        <sz val="12"/>
        <rFont val="Arial"/>
        <family val="2"/>
      </rPr>
      <t>1</t>
    </r>
    <r>
      <rPr>
        <sz val="12"/>
        <rFont val="宋体"/>
        <family val="3"/>
        <charset val="134"/>
      </rPr>
      <t>号</t>
    </r>
    <phoneticPr fontId="6" type="noConversion"/>
  </si>
  <si>
    <t>从化市温泉镇明月山溪大道明月里一街18号</t>
    <phoneticPr fontId="257" type="noConversion"/>
  </si>
  <si>
    <t>保利桃花源</t>
    <phoneticPr fontId="3" type="noConversion"/>
  </si>
  <si>
    <t>建成年代</t>
    <phoneticPr fontId="3" type="noConversion"/>
  </si>
  <si>
    <t>明月山溪</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</si>
</sst>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
      <sz val="10"/>
      <color rgb="FFFF0000"/>
      <name val="宋体"/>
      <family val="3"/>
      <charset val="134"/>
      <scheme val="minor"/>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0" fontId="258"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176" fontId="256" fillId="0" borderId="1" xfId="13" applyNumberFormat="1" applyFont="1" applyFill="1" applyBorder="1" applyAlignment="1">
      <alignment horizontal="center" vertical="center"/>
    </xf>
    <xf numFmtId="176" fontId="258" fillId="0" borderId="1" xfId="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259" fillId="0" borderId="0" xfId="0" applyFont="1">
      <alignment vertical="center"/>
    </xf>
    <xf numFmtId="176" fontId="0" fillId="0" borderId="0" xfId="0" applyNumberFormat="1">
      <alignment vertical="center"/>
    </xf>
    <xf numFmtId="43" fontId="170" fillId="0" borderId="1" xfId="12" applyNumberFormat="1" applyBorder="1" applyProtection="1">
      <protection locked="0"/>
    </xf>
    <xf numFmtId="43" fontId="0" fillId="0" borderId="0" xfId="0" applyNumberFormat="1">
      <alignment vertical="center"/>
    </xf>
    <xf numFmtId="0" fontId="61" fillId="17" borderId="48" xfId="0" applyNumberFormat="1" applyFont="1" applyFill="1" applyBorder="1" applyAlignment="1" applyProtection="1">
      <alignment horizontal="center" vertical="center" wrapText="1"/>
      <protection locked="0"/>
    </xf>
    <xf numFmtId="0" fontId="241" fillId="17" borderId="18"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96000" cy="4381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广东省广州市从化区温泉镇明月山溪大道明月里二街1号房地产抵押价值预评估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受贵公司委托，我公司对广东省广州市从化区温泉镇明月山溪大道明月里二街1号房地产抵押价值进行了预评估。</v>
      </c>
    </row>
    <row r="7" spans="1:2" s="1595" customFormat="1">
      <c r="A7" s="1593" t="s">
        <v>1264</v>
      </c>
      <c r="B7" s="1594" t="str">
        <f>'预评函-1'!A7</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992</v>
      </c>
    </row>
    <row r="21" spans="1:2" s="1595" customFormat="1">
      <c r="A21" s="1593" t="s">
        <v>1235</v>
      </c>
      <c r="B21" s="1594">
        <f ca="1">'预评函-2'!D7</f>
        <v>17032</v>
      </c>
    </row>
    <row r="22" spans="1:2" s="1595" customFormat="1">
      <c r="A22" s="1593" t="s">
        <v>1236</v>
      </c>
      <c r="B22" s="1594" t="str">
        <f ca="1">'预评函-2'!D6</f>
        <v>玖佰玖拾贰万元整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992</v>
      </c>
    </row>
    <row r="31" spans="1:2" s="1595" customFormat="1">
      <c r="A31" s="1593" t="s">
        <v>1274</v>
      </c>
      <c r="B31" s="1594">
        <f ca="1">'预评函-2'!D15</f>
        <v>17032</v>
      </c>
    </row>
    <row r="32" spans="1:2" s="1595" customFormat="1">
      <c r="A32" s="1593" t="s">
        <v>1241</v>
      </c>
      <c r="B32" s="1594" t="str">
        <f ca="1">'预评函-2'!D14</f>
        <v>玖佰玖拾贰万元整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广东省广州市从化区温泉镇明月山溪大道明月里二街1号房地产</v>
      </c>
    </row>
    <row r="42" spans="1:2" s="1595" customFormat="1">
      <c r="A42" s="1593" t="s">
        <v>1288</v>
      </c>
      <c r="B42" s="1594" t="str">
        <f>'预评函-3'!B2</f>
        <v>建筑面积</v>
      </c>
    </row>
    <row r="43" spans="1:2" s="1595" customFormat="1">
      <c r="A43" s="1593" t="s">
        <v>1289</v>
      </c>
      <c r="B43" s="1594">
        <f>'预评函-3'!B4</f>
        <v>582.44000000000005</v>
      </c>
    </row>
    <row r="44" spans="1:2" s="1595" customFormat="1">
      <c r="A44" s="1593" t="s">
        <v>1273</v>
      </c>
      <c r="B44" s="1594" t="str">
        <f>'预评函-3'!C2</f>
        <v>(分摊)土地面积</v>
      </c>
    </row>
    <row r="45" spans="1:2" s="1595" customFormat="1">
      <c r="A45" s="1593" t="s">
        <v>1245</v>
      </c>
      <c r="B45" s="1594">
        <f>'预评函-3'!C4</f>
        <v>577.58000000000004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6"/>
      <c r="B54" s="2023" t="s">
        <v>864</v>
      </c>
      <c r="C54" s="2020" t="s">
        <v>1281</v>
      </c>
    </row>
    <row r="55" spans="1:4">
      <c r="A55" s="3026"/>
      <c r="B55" s="2023" t="s">
        <v>865</v>
      </c>
      <c r="C55" s="2020" t="s">
        <v>1282</v>
      </c>
    </row>
    <row r="56" spans="1:4">
      <c r="A56" s="3026"/>
      <c r="B56" s="2023" t="s">
        <v>866</v>
      </c>
      <c r="C56" s="2020" t="s">
        <v>1286</v>
      </c>
    </row>
    <row r="57" spans="1:4">
      <c r="A57" s="302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1776</v>
      </c>
      <c r="B1" s="3027" t="str">
        <f>IF(B10="北京市","北京市",C10)&amp;F10&amp;IF(结果表!G1="在建","出让国有建设用地使用权及在建建筑物",IF(结果表!G1="土地","出让国有建设用地使用权",))&amp;B9&amp;"预评估"</f>
        <v>广东省广州市从化区温泉镇明月山溪大道明月里二街1号房地产抵押价值预评估</v>
      </c>
      <c r="C1" s="3028"/>
      <c r="D1" s="3028"/>
      <c r="E1" s="3028"/>
      <c r="F1" s="3028"/>
      <c r="G1" s="3028"/>
      <c r="H1" s="3028"/>
      <c r="I1" s="302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广东省广州市从化区温泉镇明月山溪大道明月里二街1号房地产抵押价值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广东省广州市从化区温泉镇明月山溪大道明月里二街1号房地产</v>
      </c>
    </row>
    <row r="3" spans="1:19" ht="18" customHeight="1">
      <c r="A3" s="2036" t="s">
        <v>1778</v>
      </c>
      <c r="B3" s="2037">
        <v>43316</v>
      </c>
      <c r="C3" s="2038" t="s">
        <v>1779</v>
      </c>
      <c r="D3" s="2037">
        <v>43316</v>
      </c>
      <c r="E3" s="2027"/>
      <c r="F3" s="2027"/>
      <c r="G3" s="2027"/>
      <c r="H3" s="2027"/>
      <c r="I3" s="2027"/>
      <c r="J3" s="2027"/>
      <c r="K3" s="2028"/>
      <c r="L3" s="2029"/>
      <c r="M3" s="2029"/>
      <c r="N3" s="2030"/>
      <c r="O3" s="2031"/>
      <c r="P3" s="2030"/>
      <c r="Q3" s="2030"/>
      <c r="R3" s="2030"/>
      <c r="S3" s="2032"/>
    </row>
    <row r="4" spans="1:19" ht="18" customHeight="1" thickBot="1">
      <c r="A4" s="2039" t="s">
        <v>1780</v>
      </c>
      <c r="B4" s="2040" t="s">
        <v>3044</v>
      </c>
      <c r="C4" s="1039">
        <f ca="1">SUMIF(注册房地产估价师,B4,估价师及机构信息!B3:B24)</f>
        <v>1419970001</v>
      </c>
      <c r="D4" s="2040" t="s">
        <v>3045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吴薇（注册号：1419970001)、郑燚（注册号：1120070131)</v>
      </c>
      <c r="L4" s="2029"/>
      <c r="M4" s="2029"/>
      <c r="N4" s="2030"/>
      <c r="O4" s="2031"/>
      <c r="P4" s="2030"/>
      <c r="Q4" s="2030"/>
      <c r="R4" s="2030"/>
      <c r="S4" s="2032"/>
    </row>
    <row r="5" spans="1:19" ht="18" customHeight="1" thickTop="1">
      <c r="A5" s="2045" t="s">
        <v>1781</v>
      </c>
      <c r="B5" s="2944" t="s">
        <v>3046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5" t="s">
        <v>3047</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6" t="s">
        <v>3048</v>
      </c>
      <c r="C7" s="2049"/>
      <c r="D7" s="2050"/>
      <c r="E7" s="2035"/>
      <c r="F7" s="2043"/>
      <c r="G7" s="2043"/>
      <c r="H7" s="2043"/>
      <c r="I7" s="2043"/>
      <c r="J7" s="2043"/>
      <c r="K7" s="2052"/>
      <c r="L7" s="2029"/>
      <c r="M7" s="2029"/>
      <c r="N7" s="2030"/>
      <c r="O7" s="2031"/>
      <c r="P7" s="2030"/>
      <c r="Q7" s="2030"/>
      <c r="R7" s="2030"/>
    </row>
    <row r="8" spans="1:19" ht="18" customHeight="1">
      <c r="A8" s="2048" t="s">
        <v>1784</v>
      </c>
      <c r="B8" s="2053" t="s">
        <v>3049</v>
      </c>
      <c r="C8" s="2054"/>
      <c r="D8" s="3030" t="s">
        <v>1785</v>
      </c>
      <c r="E8" s="2055" t="s">
        <v>3050</v>
      </c>
      <c r="F8" s="2056"/>
      <c r="G8" s="2027"/>
      <c r="H8" s="2027"/>
      <c r="I8" s="2027"/>
      <c r="J8" s="2043"/>
      <c r="K8" s="2044"/>
      <c r="L8" s="2029"/>
      <c r="M8" s="2029"/>
      <c r="N8" s="2030"/>
      <c r="O8" s="2031"/>
      <c r="P8" s="2030"/>
      <c r="Q8" s="2030"/>
      <c r="R8" s="2030"/>
    </row>
    <row r="9" spans="1:19" ht="18" customHeight="1" thickBot="1">
      <c r="A9" s="2041" t="s">
        <v>1786</v>
      </c>
      <c r="B9" s="2057" t="s">
        <v>3050</v>
      </c>
      <c r="C9" s="2058"/>
      <c r="D9" s="3031"/>
      <c r="E9" s="2057" t="s">
        <v>70</v>
      </c>
      <c r="F9" s="2059"/>
      <c r="G9" s="2060"/>
      <c r="H9" s="2060"/>
      <c r="I9" s="2060"/>
      <c r="J9" s="2043"/>
      <c r="K9" s="2052"/>
      <c r="L9" s="2029"/>
      <c r="M9" s="2029"/>
      <c r="N9" s="2030"/>
      <c r="O9" s="2031"/>
      <c r="P9" s="2030"/>
      <c r="Q9" s="2030"/>
      <c r="R9" s="2030"/>
    </row>
    <row r="10" spans="1:19" ht="18" customHeight="1" thickTop="1">
      <c r="A10" s="2061" t="s">
        <v>1787</v>
      </c>
      <c r="B10" s="2062" t="s">
        <v>3051</v>
      </c>
      <c r="C10" s="2063"/>
      <c r="D10" s="2047"/>
      <c r="E10" s="2064" t="s">
        <v>1788</v>
      </c>
      <c r="F10" s="2947" t="s">
        <v>3195</v>
      </c>
      <c r="G10" s="2065"/>
      <c r="H10" s="2066"/>
      <c r="I10" s="2047"/>
      <c r="J10" s="2043"/>
      <c r="K10" s="2052"/>
      <c r="L10" s="2029"/>
      <c r="M10" s="2029"/>
      <c r="N10" s="2030"/>
      <c r="O10" s="2031"/>
      <c r="P10" s="2030"/>
      <c r="Q10" s="2030"/>
      <c r="R10" s="2030"/>
    </row>
    <row r="11" spans="1:19" ht="18" customHeight="1">
      <c r="A11" s="2067" t="s">
        <v>1789</v>
      </c>
      <c r="B11" s="2068" t="s">
        <v>3052</v>
      </c>
      <c r="C11" s="2069"/>
      <c r="D11" s="2070"/>
      <c r="E11" s="2043"/>
      <c r="F11" s="2043"/>
      <c r="G11" s="2043"/>
      <c r="H11" s="2043"/>
      <c r="I11" s="2043"/>
      <c r="J11" s="2043"/>
      <c r="K11" s="2052"/>
      <c r="L11" s="2029"/>
      <c r="M11" s="2029"/>
      <c r="N11" s="2030"/>
      <c r="O11" s="2031"/>
      <c r="P11" s="2030"/>
      <c r="Q11" s="2030"/>
      <c r="R11" s="2030"/>
    </row>
    <row r="12" spans="1:19" ht="18" customHeight="1">
      <c r="A12" s="2071" t="s">
        <v>1790</v>
      </c>
      <c r="B12" s="2068" t="s">
        <v>3053</v>
      </c>
      <c r="C12" s="2072" t="s">
        <v>1791</v>
      </c>
      <c r="D12" s="2073" t="s">
        <v>1792</v>
      </c>
      <c r="E12" s="2073" t="s">
        <v>1793</v>
      </c>
      <c r="F12" s="2073" t="s">
        <v>1794</v>
      </c>
      <c r="G12" s="2073" t="s">
        <v>1795</v>
      </c>
      <c r="H12" s="2073" t="s">
        <v>1796</v>
      </c>
      <c r="I12" s="2073" t="s">
        <v>1797</v>
      </c>
      <c r="J12" s="2043"/>
      <c r="K12" s="2052"/>
      <c r="L12" s="2029"/>
      <c r="M12" s="2029"/>
      <c r="N12" s="2030"/>
      <c r="O12" s="2031"/>
      <c r="P12" s="2030"/>
      <c r="Q12" s="2030"/>
      <c r="R12" s="2030"/>
    </row>
    <row r="13" spans="1:19" ht="18" customHeight="1">
      <c r="A13" s="2074"/>
      <c r="B13" s="2075"/>
      <c r="C13" s="2076" t="s">
        <v>1798</v>
      </c>
      <c r="D13" s="2077">
        <v>59765</v>
      </c>
      <c r="E13" s="2077"/>
      <c r="F13" s="2077"/>
      <c r="G13" s="2077"/>
      <c r="H13" s="2077"/>
      <c r="I13" s="1049"/>
      <c r="J13" s="2043"/>
      <c r="K13" s="2052"/>
      <c r="L13" s="2029"/>
      <c r="M13" s="2029"/>
      <c r="N13" s="2030"/>
      <c r="O13" s="2031"/>
      <c r="P13" s="2030"/>
      <c r="Q13" s="2030"/>
      <c r="R13" s="2030"/>
    </row>
    <row r="14" spans="1:19" ht="18" customHeight="1">
      <c r="A14" s="2074"/>
      <c r="B14" s="2075"/>
      <c r="C14" s="2076" t="s">
        <v>1799</v>
      </c>
      <c r="D14" s="1052">
        <v>70</v>
      </c>
      <c r="E14" s="1052"/>
      <c r="F14" s="1052"/>
      <c r="G14" s="1052"/>
      <c r="H14" s="1052"/>
      <c r="I14" s="1052"/>
      <c r="J14" s="2043"/>
      <c r="K14" s="2078"/>
      <c r="L14" s="2029"/>
      <c r="M14" s="2029"/>
      <c r="N14" s="2030"/>
      <c r="O14" s="2031"/>
      <c r="P14" s="2030"/>
      <c r="Q14" s="2030"/>
      <c r="R14" s="2030"/>
    </row>
    <row r="15" spans="1:19" ht="18" customHeight="1">
      <c r="A15" s="2061"/>
      <c r="B15" s="2079"/>
      <c r="C15" s="2076" t="s">
        <v>1800</v>
      </c>
      <c r="D15" s="1051">
        <f>IF(B12="出让",IF(D13="","",ROUNDDOWN(MIN((D13-$D$3)/365,D14),2)),D14)</f>
        <v>45.06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1801</v>
      </c>
      <c r="B16" s="3037" t="s">
        <v>3054</v>
      </c>
      <c r="C16" s="3038"/>
      <c r="D16" s="3039"/>
      <c r="E16" s="2083" t="s">
        <v>1802</v>
      </c>
      <c r="F16" s="3040" t="s">
        <v>3125</v>
      </c>
      <c r="G16" s="3041"/>
      <c r="H16" s="3041"/>
      <c r="I16" s="3042"/>
      <c r="J16" s="2030"/>
      <c r="K16" s="2080"/>
      <c r="L16" s="2081"/>
      <c r="M16" s="2081"/>
      <c r="N16" s="2082"/>
      <c r="O16" s="2081"/>
      <c r="P16" s="2082"/>
      <c r="Q16" s="2030"/>
      <c r="R16" s="2030"/>
    </row>
    <row r="17" spans="1:22" ht="18" customHeight="1">
      <c r="A17" s="2084" t="s">
        <v>1803</v>
      </c>
      <c r="B17" s="2036" t="s">
        <v>1804</v>
      </c>
      <c r="C17" s="1056">
        <f>'数据-汇总表'!E3</f>
        <v>582.44000000000005</v>
      </c>
      <c r="D17" s="2085" t="s">
        <v>1805</v>
      </c>
      <c r="E17" s="3043" t="s">
        <v>3126</v>
      </c>
      <c r="F17" s="3044"/>
      <c r="G17" s="3044"/>
      <c r="H17" s="3044"/>
      <c r="I17" s="3045"/>
      <c r="J17" s="2030"/>
      <c r="K17" s="2086"/>
      <c r="L17" s="2081"/>
      <c r="M17" s="2081"/>
      <c r="N17" s="2082"/>
      <c r="O17" s="2081"/>
      <c r="P17" s="2082"/>
      <c r="Q17" s="2030"/>
      <c r="R17" s="2030"/>
      <c r="S17" s="2030"/>
      <c r="T17" s="2030"/>
      <c r="U17" s="2030"/>
      <c r="V17" s="2030"/>
    </row>
    <row r="18" spans="1:22" ht="36" customHeight="1" thickBot="1">
      <c r="A18" s="2087" t="s">
        <v>3055</v>
      </c>
      <c r="B18" s="2039" t="s">
        <v>1806</v>
      </c>
      <c r="C18" s="1446">
        <f>'数据-汇总表'!D3</f>
        <v>577.58000000000004</v>
      </c>
      <c r="D18" s="2088" t="s">
        <v>1805</v>
      </c>
      <c r="E18" s="3046" t="s">
        <v>3127</v>
      </c>
      <c r="F18" s="3047"/>
      <c r="G18" s="3047"/>
      <c r="H18" s="3047"/>
      <c r="I18" s="3048"/>
      <c r="J18" s="2030"/>
      <c r="K18" s="2086"/>
      <c r="L18" s="2081"/>
      <c r="M18" s="2081"/>
      <c r="N18" s="2082"/>
      <c r="O18" s="2081"/>
      <c r="P18" s="2082"/>
      <c r="Q18" s="2030"/>
      <c r="R18" s="2030"/>
      <c r="S18" s="2030"/>
      <c r="T18" s="2030"/>
      <c r="U18" s="2030"/>
      <c r="V18" s="2030"/>
    </row>
    <row r="19" spans="1:22" ht="37.5" customHeight="1" thickTop="1" thickBot="1">
      <c r="A19" s="373" t="s">
        <v>1807</v>
      </c>
      <c r="B19" s="352" t="s">
        <v>1808</v>
      </c>
      <c r="C19" s="2089" t="s">
        <v>3056</v>
      </c>
      <c r="D19" s="2090" t="s">
        <v>1809</v>
      </c>
      <c r="E19" s="2091" t="s">
        <v>3056</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1810</v>
      </c>
      <c r="B20" s="3033" t="s">
        <v>1811</v>
      </c>
      <c r="C20" s="3034"/>
      <c r="D20" s="3035" t="s">
        <v>1812</v>
      </c>
      <c r="E20" s="3036"/>
      <c r="F20" s="2095" t="s">
        <v>1813</v>
      </c>
      <c r="G20" s="2043"/>
      <c r="H20" s="2043"/>
      <c r="I20" s="2043"/>
      <c r="J20" s="2043"/>
      <c r="K20" s="3032"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2"/>
      <c r="O20" s="2081"/>
      <c r="P20" s="2082"/>
      <c r="Q20" s="2030"/>
      <c r="R20" s="2030"/>
      <c r="S20" s="2030"/>
      <c r="T20" s="2030"/>
      <c r="U20" s="2030"/>
      <c r="V20" s="2030"/>
    </row>
    <row r="21" spans="1:22" ht="24.75" customHeight="1">
      <c r="A21" s="2094"/>
      <c r="B21" s="2096" t="s">
        <v>1815</v>
      </c>
      <c r="C21" s="2097" t="s">
        <v>3057</v>
      </c>
      <c r="D21" s="2098"/>
      <c r="E21" s="2099" t="s">
        <v>70</v>
      </c>
      <c r="F21" s="2100"/>
      <c r="G21" s="2043"/>
      <c r="H21" s="2043"/>
      <c r="I21" s="2043"/>
      <c r="J21" s="2043"/>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2"/>
      <c r="O21" s="2081"/>
      <c r="P21" s="2082"/>
      <c r="Q21" s="2030"/>
      <c r="R21" s="2030"/>
      <c r="S21" s="2030"/>
      <c r="T21" s="2030"/>
      <c r="U21" s="2030"/>
      <c r="V21" s="2030"/>
    </row>
    <row r="22" spans="1:22" ht="24.75" customHeight="1" thickBot="1">
      <c r="A22" s="2094"/>
      <c r="B22" s="2101" t="s">
        <v>1816</v>
      </c>
      <c r="C22" s="2097" t="s">
        <v>1817</v>
      </c>
      <c r="D22" s="2027"/>
      <c r="E22" s="2027"/>
      <c r="F22" s="2102"/>
      <c r="G22" s="2043"/>
      <c r="H22" s="2043"/>
      <c r="I22" s="2043"/>
      <c r="J22" s="2043"/>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1818</v>
      </c>
      <c r="B23" s="183" t="s">
        <v>1819</v>
      </c>
      <c r="C23" s="2104"/>
      <c r="D23" s="2105" t="s">
        <v>1819</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3" t="s">
        <v>1820</v>
      </c>
      <c r="C24" s="2109"/>
      <c r="D24" s="2103" t="s">
        <v>1820</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3" t="s">
        <v>1821</v>
      </c>
      <c r="C25" s="2109"/>
      <c r="D25" s="2103" t="s">
        <v>1821</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1822</v>
      </c>
      <c r="C26" s="2113"/>
      <c r="D26" s="2114" t="s">
        <v>1823</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50" t="s">
        <v>1824</v>
      </c>
      <c r="B27" s="2061" t="s">
        <v>1825</v>
      </c>
      <c r="C27" s="2117" t="s">
        <v>3058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50"/>
      <c r="B28" s="2036" t="s">
        <v>1826</v>
      </c>
      <c r="C28" s="2119" t="s">
        <v>3059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50"/>
      <c r="B29" s="2036" t="s">
        <v>1827</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51"/>
      <c r="B30" s="2036" t="s">
        <v>1828</v>
      </c>
      <c r="C30" s="3052"/>
      <c r="D30" s="3053"/>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54" t="s">
        <v>1829</v>
      </c>
      <c r="B31" s="2124" t="s">
        <v>3060</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55"/>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55"/>
      <c r="B33" s="2128"/>
      <c r="C33" s="2067"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1" t="s">
        <v>3061</v>
      </c>
      <c r="C34" s="2131" t="s">
        <v>3062</v>
      </c>
      <c r="D34" s="2131" t="s">
        <v>3063</v>
      </c>
      <c r="E34" s="2131" t="s">
        <v>3064</v>
      </c>
      <c r="F34" s="2131" t="s">
        <v>3065</v>
      </c>
      <c r="G34" s="2131" t="s">
        <v>3066</v>
      </c>
      <c r="H34" s="2131"/>
      <c r="I34" s="2043"/>
      <c r="J34" s="2043"/>
      <c r="K34" s="1796">
        <f>COUNTIF(B34:H34,"——")</f>
        <v>0</v>
      </c>
      <c r="L34" s="2072" t="s">
        <v>1831</v>
      </c>
      <c r="M34" s="2072" t="s">
        <v>1832</v>
      </c>
      <c r="N34" s="2072" t="s">
        <v>1833</v>
      </c>
      <c r="O34" s="2072" t="s">
        <v>1834</v>
      </c>
      <c r="P34" s="2072" t="s">
        <v>1835</v>
      </c>
      <c r="Q34" s="2072" t="s">
        <v>1836</v>
      </c>
      <c r="R34" s="2072" t="s">
        <v>1837</v>
      </c>
      <c r="S34" s="3049" t="s">
        <v>1838</v>
      </c>
      <c r="T34" s="2132" t="str">
        <f>NUMBERSTRING(7-K34,1)&amp;"通"</f>
        <v>七通</v>
      </c>
      <c r="U34" s="2030"/>
      <c r="V34" s="2030"/>
    </row>
    <row r="35" spans="1:22" ht="18" customHeight="1">
      <c r="A35" s="2133"/>
      <c r="B35" s="3056" t="s">
        <v>1839</v>
      </c>
      <c r="C35" s="3056"/>
      <c r="D35" s="3056"/>
      <c r="E35" s="3056"/>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30"/>
      <c r="V35" s="2030"/>
    </row>
    <row r="36" spans="1:22" ht="18" customHeight="1">
      <c r="A36" s="2135"/>
      <c r="B36" s="2134" t="s">
        <v>1840</v>
      </c>
      <c r="C36" s="2134" t="s">
        <v>1841</v>
      </c>
      <c r="D36" s="2134" t="s">
        <v>1842</v>
      </c>
      <c r="E36" s="2134" t="s">
        <v>1843</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1844</v>
      </c>
      <c r="B37" s="2138"/>
      <c r="C37" s="2138"/>
      <c r="D37" s="2138"/>
      <c r="E37" s="2138"/>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140"/>
      <c r="C38" s="2140"/>
      <c r="D38" s="2140"/>
      <c r="E38" s="2140"/>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1847</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1848</v>
      </c>
      <c r="B42" s="1796" t="s">
        <v>1849</v>
      </c>
      <c r="C42" s="1796" t="s">
        <v>1850</v>
      </c>
      <c r="D42" s="1796" t="s">
        <v>1851</v>
      </c>
      <c r="E42" s="1796" t="s">
        <v>1852</v>
      </c>
      <c r="F42" s="1796" t="s">
        <v>1853</v>
      </c>
      <c r="G42" s="1796" t="s">
        <v>1854</v>
      </c>
      <c r="H42" s="1796" t="s">
        <v>1855</v>
      </c>
      <c r="I42" s="1796" t="s">
        <v>1856</v>
      </c>
      <c r="J42" s="2150" t="s">
        <v>1857</v>
      </c>
      <c r="K42" s="2073" t="s">
        <v>1858</v>
      </c>
      <c r="L42" s="2073" t="s">
        <v>1859</v>
      </c>
      <c r="M42" s="2073" t="s">
        <v>1860</v>
      </c>
      <c r="N42" s="1796" t="s">
        <v>1861</v>
      </c>
      <c r="O42" s="1796" t="s">
        <v>1862</v>
      </c>
      <c r="P42" s="1796" t="s">
        <v>1863</v>
      </c>
      <c r="Q42" s="2072" t="s">
        <v>1864</v>
      </c>
      <c r="R42" s="2072" t="s">
        <v>1865</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1871</v>
      </c>
      <c r="AZ2" s="1272"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577.58000000000004</v>
      </c>
      <c r="B3" s="14">
        <f>IF(C3="否",G5-AT5,G5)</f>
        <v>582.44000000000005</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4"/>
      <c r="C5" s="1804"/>
      <c r="D5" s="1807"/>
      <c r="E5" s="16" t="s">
        <v>1</v>
      </c>
      <c r="F5" s="16">
        <f>SUM(F13:F587)</f>
        <v>0</v>
      </c>
      <c r="G5" s="16">
        <f>SUM(G13:G587)</f>
        <v>582.44000000000005</v>
      </c>
      <c r="H5" s="16">
        <f t="shared" ref="H5:AT5" si="0">SUM(H13:H656)</f>
        <v>582.44000000000005</v>
      </c>
      <c r="I5" s="16">
        <f t="shared" si="0"/>
        <v>582.44000000000005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582.44000000000005</v>
      </c>
      <c r="BA5" s="18">
        <f t="shared" si="1"/>
        <v>582.44000000000005</v>
      </c>
      <c r="BB5" s="18">
        <f t="shared" si="1"/>
        <v>582.44000000000005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577.58000000000004</v>
      </c>
      <c r="F6" s="16" t="s">
        <v>1</v>
      </c>
      <c r="G6" s="16" t="s">
        <v>2</v>
      </c>
      <c r="H6" s="20">
        <f>SUMIF(I$12:AB$12,"总值",I6:AB6)</f>
        <v>577.58000000000004</v>
      </c>
      <c r="I6" s="16">
        <f t="shared" ref="I6:AB6" si="2">ROUND($A$3*I5/$B$3,2)</f>
        <v>577.58000000000004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577.58000000000004</v>
      </c>
      <c r="AZ6" s="16" t="s">
        <v>3</v>
      </c>
      <c r="BA6" s="16">
        <f>ROUND($AY$6*BA5/$AZ$5,2)</f>
        <v>577.58000000000004</v>
      </c>
      <c r="BB6" s="16">
        <f>ROUND($AY$6*BB5/$AZ$5,2)</f>
        <v>577.58000000000004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1884</v>
      </c>
      <c r="AV7" s="23" t="s">
        <v>1885</v>
      </c>
      <c r="AW7" s="2164" t="s">
        <v>1886</v>
      </c>
      <c r="AX7" s="23" t="s">
        <v>1879</v>
      </c>
      <c r="AY7" s="1804"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9"/>
      <c r="K8" s="1819"/>
      <c r="L8" s="1819"/>
      <c r="M8" s="1819"/>
      <c r="N8" s="1819"/>
      <c r="O8" s="1819"/>
      <c r="P8" s="1819"/>
      <c r="Q8" s="1819"/>
      <c r="R8" s="1819"/>
      <c r="S8" s="1819"/>
      <c r="T8" s="1819"/>
      <c r="U8" s="1819"/>
      <c r="V8" s="2184"/>
      <c r="W8" s="1819"/>
      <c r="X8" s="1819"/>
      <c r="Y8" s="1819"/>
      <c r="Z8" s="1819"/>
      <c r="AA8" s="2184"/>
      <c r="AB8" s="2185"/>
      <c r="AC8" s="983" t="s">
        <v>1890</v>
      </c>
      <c r="AD8" s="2186"/>
      <c r="AE8" s="2178"/>
      <c r="AF8" s="1819"/>
      <c r="AG8" s="1819"/>
      <c r="AH8" s="1819"/>
      <c r="AI8" s="1819"/>
      <c r="AJ8" s="1819"/>
      <c r="AK8" s="1819"/>
      <c r="AL8" s="1819"/>
      <c r="AM8" s="1819"/>
      <c r="AN8" s="1819"/>
      <c r="AO8" s="1819"/>
      <c r="AP8" s="1819"/>
      <c r="AQ8" s="1819"/>
      <c r="AR8" s="1819"/>
      <c r="AS8" s="1819"/>
      <c r="AT8" s="1294" t="s">
        <v>1891</v>
      </c>
      <c r="AU8" s="2180" t="s">
        <v>1892</v>
      </c>
      <c r="AV8" s="1294"/>
      <c r="AW8" s="2163"/>
      <c r="AX8" s="1294"/>
      <c r="AY8" s="2164"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1895</v>
      </c>
      <c r="I9" s="2189" t="s">
        <v>3068</v>
      </c>
      <c r="J9" s="983"/>
      <c r="K9" s="2189"/>
      <c r="L9" s="983"/>
      <c r="M9" s="2189"/>
      <c r="N9" s="983"/>
      <c r="O9" s="2189"/>
      <c r="P9" s="983"/>
      <c r="Q9" s="2189"/>
      <c r="R9" s="983"/>
      <c r="S9" s="2189"/>
      <c r="T9" s="983"/>
      <c r="U9" s="2189"/>
      <c r="V9" s="983"/>
      <c r="W9" s="2189"/>
      <c r="X9" s="2190"/>
      <c r="Y9" s="2189"/>
      <c r="Z9" s="983"/>
      <c r="AA9" s="2189"/>
      <c r="AB9" s="983"/>
      <c r="AC9" s="2181"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1"/>
      <c r="AT9" s="2180"/>
      <c r="AU9" s="2180" t="s">
        <v>1898</v>
      </c>
      <c r="AV9" s="1294"/>
      <c r="AW9" s="2163"/>
      <c r="AX9" s="1294"/>
      <c r="AY9" s="28"/>
      <c r="AZ9" s="28" t="s">
        <v>1888</v>
      </c>
      <c r="BA9" s="2192" t="s">
        <v>1899</v>
      </c>
      <c r="BB9" s="2193"/>
      <c r="BC9" s="1340"/>
      <c r="BD9" s="1340"/>
      <c r="BE9" s="1340"/>
      <c r="BF9" s="1340"/>
      <c r="BG9" s="1340"/>
      <c r="BH9" s="1340"/>
      <c r="BI9" s="1340"/>
      <c r="BJ9" s="1340"/>
      <c r="BK9" s="2194"/>
      <c r="BL9" s="15" t="s">
        <v>1900</v>
      </c>
      <c r="BM9" s="1819"/>
      <c r="BN9" s="2183"/>
      <c r="BO9" s="1819"/>
      <c r="BP9" s="1819"/>
      <c r="BQ9" s="1819"/>
      <c r="BR9" s="1819"/>
      <c r="BS9" s="1819"/>
      <c r="BT9" s="26"/>
    </row>
    <row r="10" spans="1:72" s="2187" customFormat="1" ht="12.75">
      <c r="A10" s="2180"/>
      <c r="B10" s="2180"/>
      <c r="C10" s="2180"/>
      <c r="D10" s="2180"/>
      <c r="E10" s="2180"/>
      <c r="F10" s="2180"/>
      <c r="G10" s="1294"/>
      <c r="H10" s="28"/>
      <c r="I10" s="2189" t="s">
        <v>3144</v>
      </c>
      <c r="J10" s="983"/>
      <c r="K10" s="2195"/>
      <c r="L10" s="983"/>
      <c r="M10" s="2195"/>
      <c r="N10" s="983"/>
      <c r="O10" s="2195"/>
      <c r="P10" s="983"/>
      <c r="Q10" s="2195"/>
      <c r="R10" s="983"/>
      <c r="S10" s="2195"/>
      <c r="T10" s="983"/>
      <c r="U10" s="2195"/>
      <c r="V10" s="983"/>
      <c r="W10" s="2195"/>
      <c r="X10" s="983"/>
      <c r="Y10" s="2195"/>
      <c r="Z10" s="983"/>
      <c r="AA10" s="2195"/>
      <c r="AB10" s="983"/>
      <c r="AC10" s="1294"/>
      <c r="AD10" s="15" t="s">
        <v>1901</v>
      </c>
      <c r="AE10" s="2196"/>
      <c r="AF10" s="15" t="s">
        <v>1901</v>
      </c>
      <c r="AG10" s="2196"/>
      <c r="AH10" s="15" t="s">
        <v>1902</v>
      </c>
      <c r="AI10" s="2196"/>
      <c r="AJ10" s="15" t="s">
        <v>1902</v>
      </c>
      <c r="AK10" s="2196"/>
      <c r="AL10" s="15" t="s">
        <v>1903</v>
      </c>
      <c r="AM10" s="1300"/>
      <c r="AN10" s="15" t="s">
        <v>1903</v>
      </c>
      <c r="AO10" s="1300"/>
      <c r="AP10" s="15" t="s">
        <v>1904</v>
      </c>
      <c r="AQ10" s="1300"/>
      <c r="AR10" s="15" t="s">
        <v>1904</v>
      </c>
      <c r="AS10" s="1300"/>
      <c r="AT10" s="2180"/>
      <c r="AU10" s="2180"/>
      <c r="AV10" s="1294"/>
      <c r="AW10" s="2163"/>
      <c r="AX10" s="1294"/>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3146</v>
      </c>
      <c r="J11" s="2201"/>
      <c r="K11" s="2200"/>
      <c r="L11" s="2201"/>
      <c r="M11" s="2200"/>
      <c r="N11" s="2201"/>
      <c r="O11" s="2200"/>
      <c r="P11" s="2201"/>
      <c r="Q11" s="2200"/>
      <c r="R11" s="2201"/>
      <c r="S11" s="2200"/>
      <c r="T11" s="2201"/>
      <c r="U11" s="2200"/>
      <c r="V11" s="2201"/>
      <c r="W11" s="2200"/>
      <c r="X11" s="2201"/>
      <c r="Y11" s="2200"/>
      <c r="Z11" s="2201"/>
      <c r="AA11" s="2200"/>
      <c r="AB11" s="2201"/>
      <c r="AC11" s="1294"/>
      <c r="AD11" s="2202" t="s">
        <v>1905</v>
      </c>
      <c r="AE11" s="1820"/>
      <c r="AF11" s="2202" t="s">
        <v>1905</v>
      </c>
      <c r="AG11" s="1820"/>
      <c r="AH11" s="2202" t="s">
        <v>1906</v>
      </c>
      <c r="AI11" s="2203"/>
      <c r="AJ11" s="2202" t="s">
        <v>1906</v>
      </c>
      <c r="AK11" s="1820"/>
      <c r="AL11" s="1818"/>
      <c r="AM11" s="1820"/>
      <c r="AN11" s="1818"/>
      <c r="AO11" s="1820"/>
      <c r="AP11" s="1818"/>
      <c r="AQ11" s="1820"/>
      <c r="AR11" s="1818"/>
      <c r="AS11" s="1820"/>
      <c r="AT11" s="2163"/>
      <c r="AU11" s="2180"/>
      <c r="AV11" s="1294"/>
      <c r="AW11" s="2163"/>
      <c r="AX11" s="1294"/>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7"/>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独栋</v>
      </c>
      <c r="BC12" s="2210">
        <f>K11</f>
        <v>0</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51">
      <c r="A13" s="1274"/>
      <c r="B13" s="1274"/>
      <c r="C13" s="1274" t="str">
        <f>面积表!B2</f>
        <v>从化市温泉镇明月山溪大道明月里二街1号</v>
      </c>
      <c r="D13" s="2211" t="s">
        <v>3056</v>
      </c>
      <c r="E13" s="16">
        <f>IF($C$3="是",ROUND($A$3*G13/$B$3,2),ROUND($A$3*(G13-AT13)/$B$3,2))</f>
        <v>577.58000000000004</v>
      </c>
      <c r="F13" s="32"/>
      <c r="G13" s="33">
        <f>H13+AC13+AT13</f>
        <v>582.44000000000005</v>
      </c>
      <c r="H13" s="20">
        <f>SUMIF(I$12:AB$12,"总值",I13:AB13)</f>
        <v>582.44000000000005</v>
      </c>
      <c r="I13" s="2212">
        <f>面积表!G2</f>
        <v>582.44000000000005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从化市温泉镇明月山溪大道明月里二街1号</v>
      </c>
      <c r="AY13" s="1807">
        <f>ROUND($AY$6*AZ13/$AZ$5,2)</f>
        <v>577.58000000000004</v>
      </c>
      <c r="AZ13" s="16">
        <f>BA13+BL13</f>
        <v>582.44000000000005</v>
      </c>
      <c r="BA13" s="16">
        <f>SUM(BB13:BK13)</f>
        <v>582.44000000000005</v>
      </c>
      <c r="BB13" s="16">
        <f>IF($D13="是",I13-J13,0)</f>
        <v>582.44000000000005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8.25" customHeight="1">
      <c r="A14" s="1274"/>
      <c r="B14" s="1274"/>
      <c r="C14" s="2151" t="e">
        <f>面积表!#REF!</f>
        <v>#REF!</v>
      </c>
      <c r="D14" s="2211" t="s">
        <v>3067</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e">
        <f t="shared" si="6"/>
        <v>#REF!</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151" t="e">
        <f>面积表!#REF!</f>
        <v>#REF!</v>
      </c>
      <c r="D15" s="2211" t="s">
        <v>3067</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e">
        <f t="shared" si="6"/>
        <v>#REF!</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t="e">
        <f>面积表!#REF!</f>
        <v>#REF!</v>
      </c>
      <c r="D16" s="2211" t="s">
        <v>3067</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e">
        <f t="shared" si="6"/>
        <v>#REF!</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t="e">
        <f>面积表!#REF!</f>
        <v>#REF!</v>
      </c>
      <c r="D17" s="2211" t="s">
        <v>3067</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e">
        <f t="shared" si="6"/>
        <v>#REF!</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1" t="e">
        <f>面积表!#REF!</f>
        <v>#REF!</v>
      </c>
      <c r="D18" s="2216" t="s">
        <v>3067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e">
        <f t="shared" ref="AX18:AX112" si="13">C18</f>
        <v>#REF!</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e">
        <f>面积表!#REF!</f>
        <v>#REF!</v>
      </c>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e">
        <f t="shared" si="13"/>
        <v>#REF!</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e">
        <f>面积表!#REF!</f>
        <v>#REF!</v>
      </c>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e">
        <f t="shared" si="13"/>
        <v>#REF!</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1" t="str">
        <f>面积表!B3</f>
        <v>从化市温泉镇明月山溪大道明月里一街18号</v>
      </c>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从化市温泉镇明月山溪大道明月里一街18号</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e">
        <f>面积表!#REF!</f>
        <v>#REF!</v>
      </c>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e">
        <f t="shared" si="13"/>
        <v>#REF!</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e">
        <f>面积表!#REF!</f>
        <v>#REF!</v>
      </c>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e">
        <f t="shared" si="13"/>
        <v>#REF!</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e">
        <f>面积表!#REF!</f>
        <v>#REF!</v>
      </c>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e">
        <f t="shared" si="13"/>
        <v>#REF!</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1" t="str">
        <f>面积表!B4</f>
        <v>从化市温泉镇明月山溪大道明月里一街3号</v>
      </c>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从化市温泉镇明月山溪大道明月里一街3号</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1" t="str">
        <f>面积表!B5</f>
        <v>从化市温泉镇明月山溪大道明月里一街5号</v>
      </c>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从化市温泉镇明月山溪大道明月里一街5号</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1" t="str">
        <f>面积表!B6</f>
        <v>从化市温泉镇明月山溪大道明月里一街7号</v>
      </c>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从化市温泉镇明月山溪大道明月里一街7号</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1" t="str">
        <f>面积表!B7</f>
        <v>从化市温泉镇明月山溪大道明月里一街9号</v>
      </c>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从化市温泉镇明月山溪大道明月里一街9号</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1">
        <f>面积表!B8</f>
        <v>0</v>
      </c>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1">
        <f>面积表!B9</f>
        <v>0</v>
      </c>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1"/>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1"/>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1"/>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1"/>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1"/>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1"/>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1"/>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1"/>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1"/>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1"/>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4"/>
      <c r="C1" s="1394"/>
      <c r="D1" s="1394"/>
      <c r="E1" s="1394"/>
      <c r="F1" s="1394"/>
      <c r="G1" s="1394"/>
      <c r="H1" s="1394"/>
      <c r="I1" s="1394"/>
      <c r="J1" s="1394"/>
      <c r="K1" s="1394"/>
      <c r="L1" s="1394"/>
      <c r="M1" s="1394"/>
      <c r="N1" s="1394"/>
      <c r="O1" s="1394"/>
      <c r="P1" s="1394"/>
    </row>
    <row r="2" spans="1:16" ht="15">
      <c r="A2" s="3068" t="s">
        <v>1935</v>
      </c>
      <c r="B2" s="3068"/>
      <c r="C2" s="3068"/>
      <c r="D2" s="969" t="s">
        <v>1911</v>
      </c>
      <c r="E2" s="2225" t="s">
        <v>1912</v>
      </c>
      <c r="F2" s="1394"/>
      <c r="G2" s="2226"/>
      <c r="H2" s="2227"/>
      <c r="I2" s="2228" t="s">
        <v>1936</v>
      </c>
      <c r="J2" s="1394"/>
      <c r="K2" s="1394"/>
      <c r="L2" s="1394"/>
      <c r="M2" s="1394"/>
      <c r="N2" s="1429"/>
      <c r="O2" s="1394"/>
      <c r="P2" s="1394"/>
    </row>
    <row r="3" spans="1:16" ht="15.75" thickBot="1">
      <c r="A3" s="3069" t="s">
        <v>1909</v>
      </c>
      <c r="B3" s="3069"/>
      <c r="C3" s="3069"/>
      <c r="D3" s="46">
        <f>'数据-基础表'!AY6</f>
        <v>577.58000000000004</v>
      </c>
      <c r="E3" s="46">
        <f>'数据-基础表'!AZ5</f>
        <v>582.44000000000005</v>
      </c>
      <c r="F3" s="1394"/>
      <c r="G3" s="1401"/>
      <c r="H3" s="1249" t="s">
        <v>1910</v>
      </c>
      <c r="I3" s="55">
        <f>ROUND('数据-基础表'!B3/'数据-基础表'!A3,2)</f>
        <v>1.01</v>
      </c>
      <c r="J3" s="1394"/>
      <c r="K3" s="1394"/>
      <c r="L3" s="1394"/>
      <c r="M3" s="1394"/>
      <c r="N3" s="1429"/>
      <c r="O3" s="1394"/>
      <c r="P3" s="1394"/>
    </row>
    <row r="4" spans="1:16" ht="15">
      <c r="A4" s="3070"/>
      <c r="B4" s="3071"/>
      <c r="C4" s="3072"/>
      <c r="D4" s="2229" t="s">
        <v>1911</v>
      </c>
      <c r="E4" s="2230" t="s">
        <v>1912</v>
      </c>
      <c r="F4" s="1394"/>
      <c r="G4" s="2231" t="s">
        <v>1937</v>
      </c>
      <c r="H4" s="1249" t="s">
        <v>1917</v>
      </c>
      <c r="I4" s="55">
        <f>ROUND(SUMIF('数据-基础表'!I9:AS9,"地上",'数据-基础表'!I5:AS5)/'数据-基础表'!A3,2)</f>
        <v>1.01</v>
      </c>
      <c r="J4" s="1394"/>
      <c r="K4" s="1394"/>
      <c r="L4" s="1394"/>
      <c r="M4" s="1394"/>
      <c r="N4" s="1429"/>
      <c r="O4" s="1394"/>
      <c r="P4" s="1394"/>
    </row>
    <row r="5" spans="1:16">
      <c r="A5" s="47" t="s">
        <v>1913</v>
      </c>
      <c r="B5" s="3073" t="s">
        <v>1914</v>
      </c>
      <c r="C5" s="3073"/>
      <c r="D5" s="48">
        <f>ROUND($D$3*E5/$E$3,2)</f>
        <v>577.58000000000004</v>
      </c>
      <c r="E5" s="49">
        <f>SUMIF('数据-基础表'!$11:$11,"住宅",'数据-基础表'!$5:$5)</f>
        <v>582.44000000000005</v>
      </c>
      <c r="F5" s="1394"/>
      <c r="G5" s="1401"/>
      <c r="H5" s="1249" t="s">
        <v>1910</v>
      </c>
      <c r="I5" s="55">
        <f>ROUND(E31/D31,2)</f>
        <v>1.01</v>
      </c>
      <c r="J5" s="1394"/>
      <c r="K5" s="1394"/>
      <c r="L5" s="1394"/>
      <c r="M5" s="1394"/>
      <c r="N5" s="1394"/>
      <c r="O5" s="1394"/>
      <c r="P5" s="1394"/>
    </row>
    <row r="6" spans="1:16" ht="15" thickBot="1">
      <c r="A6" s="2232"/>
      <c r="B6" s="3073" t="s">
        <v>1915</v>
      </c>
      <c r="C6" s="3073"/>
      <c r="D6" s="48">
        <f>ROUND($D$3*E6/$E$3,2)</f>
        <v>0</v>
      </c>
      <c r="E6" s="49">
        <f>E3-E5</f>
        <v>0</v>
      </c>
      <c r="F6" s="1394"/>
      <c r="G6" s="2233" t="s">
        <v>1916</v>
      </c>
      <c r="H6" s="1401" t="s">
        <v>1917</v>
      </c>
      <c r="I6" s="941">
        <f>ROUND(F31/D31,2)</f>
        <v>1.01</v>
      </c>
      <c r="J6" s="1394"/>
      <c r="K6" s="1394"/>
      <c r="L6" s="1394"/>
      <c r="M6" s="1394"/>
      <c r="N6" s="1394"/>
      <c r="O6" s="1394"/>
      <c r="P6" s="1394"/>
    </row>
    <row r="7" spans="1:16" ht="15">
      <c r="A7" s="3065"/>
      <c r="B7" s="3066"/>
      <c r="C7" s="3067"/>
      <c r="D7" s="2229" t="s">
        <v>1911</v>
      </c>
      <c r="E7" s="2234" t="s">
        <v>1918</v>
      </c>
      <c r="F7" s="1394"/>
      <c r="G7" s="2226" t="s">
        <v>1919</v>
      </c>
      <c r="H7" s="64"/>
      <c r="I7" s="420"/>
      <c r="J7" s="1394"/>
      <c r="K7" s="1394"/>
      <c r="L7" s="1394"/>
      <c r="M7" s="1394"/>
      <c r="N7" s="1394"/>
      <c r="O7" s="1394"/>
      <c r="P7" s="1394"/>
    </row>
    <row r="8" spans="1:16">
      <c r="A8" s="47" t="s">
        <v>1920</v>
      </c>
      <c r="B8" s="50" t="s">
        <v>1921</v>
      </c>
      <c r="C8" s="48" t="s">
        <v>1922</v>
      </c>
      <c r="D8" s="48">
        <f t="shared" ref="D8:D15" si="0">ROUND($D$3*E8/$E$3,2)</f>
        <v>577.58000000000004</v>
      </c>
      <c r="E8" s="51">
        <f>SUMIF('数据-基础表'!BB10:BK10,"地上",'数据-基础表'!BB5:BK5)</f>
        <v>582.44000000000005</v>
      </c>
      <c r="F8" s="1394"/>
      <c r="G8" s="2235"/>
      <c r="H8" s="2235"/>
      <c r="I8" s="1394"/>
      <c r="J8" s="1394"/>
      <c r="K8" s="1394"/>
      <c r="L8" s="1394"/>
      <c r="M8" s="1394"/>
      <c r="N8" s="1394"/>
      <c r="O8" s="1394"/>
      <c r="P8" s="1394"/>
    </row>
    <row r="9" spans="1:16">
      <c r="A9" s="2236"/>
      <c r="B9" s="2237"/>
      <c r="C9" s="48" t="s">
        <v>1923</v>
      </c>
      <c r="D9" s="48">
        <f t="shared" si="0"/>
        <v>0</v>
      </c>
      <c r="E9" s="52">
        <v>0</v>
      </c>
      <c r="F9" s="1394"/>
      <c r="G9" s="2235"/>
      <c r="H9" s="2235"/>
      <c r="I9" s="1394"/>
      <c r="J9" s="1394"/>
      <c r="K9" s="1394"/>
      <c r="L9" s="1394"/>
      <c r="M9" s="1394"/>
      <c r="N9" s="1394"/>
      <c r="O9" s="1394"/>
      <c r="P9" s="1394"/>
    </row>
    <row r="10" spans="1:16">
      <c r="A10" s="2236"/>
      <c r="B10" s="2237"/>
      <c r="C10" s="48" t="s">
        <v>1932</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1924</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1925</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1926</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1938</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1933</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1927</v>
      </c>
      <c r="D16" s="50">
        <f>SUM(D8:D15)</f>
        <v>577.58000000000004</v>
      </c>
      <c r="E16" s="53">
        <f>SUM(E8:E15)</f>
        <v>582.44000000000005</v>
      </c>
      <c r="F16" s="1394"/>
      <c r="G16" s="2235"/>
      <c r="H16" s="2238" t="s">
        <v>1939</v>
      </c>
      <c r="I16" s="2239"/>
      <c r="J16" s="1394"/>
      <c r="K16" s="3062" t="s">
        <v>1939</v>
      </c>
      <c r="L16" s="3063"/>
      <c r="M16" s="3063"/>
      <c r="N16" s="3063"/>
      <c r="O16" s="3063"/>
      <c r="P16" s="3064"/>
    </row>
    <row r="17" spans="1:19" ht="15">
      <c r="A17" s="2240" t="s">
        <v>1940</v>
      </c>
      <c r="B17" s="2241" t="s">
        <v>1941</v>
      </c>
      <c r="C17" s="2242" t="s">
        <v>1942</v>
      </c>
      <c r="D17" s="2243" t="s">
        <v>1930</v>
      </c>
      <c r="E17" s="2244" t="s">
        <v>1931</v>
      </c>
      <c r="F17" s="2245"/>
      <c r="G17" s="2246"/>
      <c r="H17" s="2247" t="s">
        <v>1943</v>
      </c>
      <c r="I17" s="2248" t="s">
        <v>1928</v>
      </c>
      <c r="J17" s="1394"/>
      <c r="K17" s="3059" t="s">
        <v>1944</v>
      </c>
      <c r="L17" s="3060"/>
      <c r="M17" s="3061"/>
      <c r="N17" s="3059" t="s">
        <v>1945</v>
      </c>
      <c r="O17" s="3060"/>
      <c r="P17" s="3061"/>
      <c r="R17" s="2226" t="s">
        <v>1946</v>
      </c>
      <c r="S17" s="64"/>
    </row>
    <row r="18" spans="1:19" ht="15">
      <c r="A18" s="2236"/>
      <c r="B18" s="2249"/>
      <c r="C18" s="2250"/>
      <c r="D18" s="2251"/>
      <c r="E18" s="2252" t="s">
        <v>1947</v>
      </c>
      <c r="F18" s="2253" t="s">
        <v>1948</v>
      </c>
      <c r="G18" s="2254" t="s">
        <v>1949</v>
      </c>
      <c r="H18" s="1264" t="s">
        <v>1950</v>
      </c>
      <c r="I18" s="2255" t="s">
        <v>1951</v>
      </c>
      <c r="J18" s="1394"/>
      <c r="K18" s="1264" t="s">
        <v>1952</v>
      </c>
      <c r="L18" s="2256" t="s">
        <v>1953</v>
      </c>
      <c r="M18" s="1048" t="s">
        <v>1954</v>
      </c>
      <c r="N18" s="1264" t="s">
        <v>1952</v>
      </c>
      <c r="O18" s="2256" t="s">
        <v>1953</v>
      </c>
      <c r="P18" s="1048" t="s">
        <v>1954</v>
      </c>
      <c r="R18" s="1249" t="s">
        <v>1955</v>
      </c>
      <c r="S18" s="1249" t="s">
        <v>1956</v>
      </c>
    </row>
    <row r="19" spans="1:19">
      <c r="A19" s="2257"/>
      <c r="B19" s="50" t="s">
        <v>1929</v>
      </c>
      <c r="C19" s="2964" t="s">
        <v>3128</v>
      </c>
      <c r="D19" s="48">
        <f>ROUND($D$3*E19/$E$3,2)</f>
        <v>577.58000000000004</v>
      </c>
      <c r="E19" s="56">
        <f t="shared" ref="E19:E26" si="1">SUM(F19:G19)</f>
        <v>582.44000000000005</v>
      </c>
      <c r="F19" s="57">
        <f>'数据-基础表'!I13</f>
        <v>582.44000000000005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577.58000000000004</v>
      </c>
      <c r="S19" s="1250">
        <f t="shared" si="5"/>
        <v>582.44000000000005</v>
      </c>
    </row>
    <row r="20" spans="1:19">
      <c r="A20" s="2261"/>
      <c r="B20" s="50" t="s">
        <v>1957</v>
      </c>
      <c r="C20" s="2258"/>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1957</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1958</v>
      </c>
      <c r="D27" s="1395">
        <f>SUM(D19:D26)</f>
        <v>577.58000000000004</v>
      </c>
      <c r="E27" s="1396">
        <f>IF(SUM(E19:E26)='数据-基础表'!BA5,SUM(E19:E26),IF(F27="地上面积有误","面积有误","地下面积有误"))</f>
        <v>582.44000000000005</v>
      </c>
      <c r="F27" s="1395">
        <f>IF(SUM(F19:F26)=E8,SUM(F19:F26),"地上面积有误")</f>
        <v>582.44000000000005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577.58000000000004</v>
      </c>
      <c r="S27" s="1249">
        <f>IF(SUM(S19:S26)=$E$3,SUM(S19:S26),SUM(S19:S26)&amp;"误差"&amp;ROUND(SUM(S19:S26)-E3,2))</f>
        <v>582.44000000000005</v>
      </c>
    </row>
    <row r="28" spans="1:19">
      <c r="A28" s="2261"/>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1959</v>
      </c>
      <c r="C29" s="2265"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1962</v>
      </c>
      <c r="D31" s="728">
        <f>D27+D30</f>
        <v>577.58000000000004</v>
      </c>
      <c r="E31" s="728">
        <f>E27+E30</f>
        <v>582.44000000000005</v>
      </c>
      <c r="F31" s="729">
        <f>F27+F30</f>
        <v>582.44000000000005</v>
      </c>
      <c r="G31" s="730">
        <f>G27+G30</f>
        <v>0</v>
      </c>
      <c r="H31" s="1394"/>
      <c r="I31" s="1394"/>
      <c r="J31" s="1394"/>
      <c r="K31" s="1394"/>
      <c r="L31" s="1394"/>
      <c r="M31" s="1394"/>
      <c r="N31" s="1394"/>
      <c r="O31" s="1394"/>
      <c r="P31" s="1394"/>
    </row>
    <row r="32" spans="1:19">
      <c r="A32" s="2231"/>
      <c r="B32" s="2231" t="s">
        <v>1963</v>
      </c>
      <c r="C32" s="2231"/>
      <c r="D32" s="2231"/>
      <c r="E32" s="1276">
        <f>SUMIF(C19:C26,"*住宅*",E19:E26)</f>
        <v>582.44000000000005</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4" t="s">
        <v>1965</v>
      </c>
      <c r="B2" s="1268">
        <f>项目基本情况!D3</f>
        <v>43316</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1972</v>
      </c>
      <c r="B5" s="2288" t="s">
        <v>1973</v>
      </c>
      <c r="C5" s="2289" t="s">
        <v>1974</v>
      </c>
      <c r="D5" s="2290" t="s">
        <v>1975</v>
      </c>
      <c r="E5" s="1270" t="s">
        <v>1976</v>
      </c>
      <c r="F5" s="2291" t="s">
        <v>1977</v>
      </c>
      <c r="G5" s="1270" t="s">
        <v>1978</v>
      </c>
      <c r="H5" s="1270" t="s">
        <v>1979</v>
      </c>
      <c r="I5" s="1270" t="s">
        <v>1980</v>
      </c>
      <c r="J5" s="2292" t="s">
        <v>1981</v>
      </c>
      <c r="K5" s="2293" t="s">
        <v>1982</v>
      </c>
      <c r="L5" s="2294" t="s">
        <v>1983</v>
      </c>
      <c r="M5" s="2295" t="s">
        <v>1984</v>
      </c>
      <c r="N5" s="2296" t="s">
        <v>3069</v>
      </c>
      <c r="O5" s="2294" t="s">
        <v>1985</v>
      </c>
      <c r="P5" s="2297" t="s">
        <v>1986</v>
      </c>
      <c r="Q5" s="69" t="s">
        <v>1987</v>
      </c>
      <c r="R5" s="2298" t="s">
        <v>1988</v>
      </c>
      <c r="S5" s="2299" t="s">
        <v>1989</v>
      </c>
      <c r="T5" s="2300" t="s">
        <v>1990</v>
      </c>
      <c r="U5" s="1269" t="s">
        <v>1991</v>
      </c>
      <c r="V5" s="1270" t="s">
        <v>1992</v>
      </c>
      <c r="W5" s="1270" t="s">
        <v>1993</v>
      </c>
      <c r="X5" s="71"/>
      <c r="Y5" s="70" t="s">
        <v>1994</v>
      </c>
      <c r="Z5" s="2301" t="s">
        <v>1991</v>
      </c>
      <c r="AA5" s="1270" t="s">
        <v>1992</v>
      </c>
      <c r="AB5" s="1270" t="s">
        <v>1993</v>
      </c>
      <c r="AC5" s="71"/>
      <c r="AD5" s="71" t="s">
        <v>1994</v>
      </c>
      <c r="AE5" s="1269" t="s">
        <v>1995</v>
      </c>
      <c r="AF5" s="1270" t="s">
        <v>1996</v>
      </c>
      <c r="AG5" s="70" t="s">
        <v>1997</v>
      </c>
      <c r="AH5" s="1269" t="s">
        <v>1998</v>
      </c>
      <c r="AI5" s="2301" t="s">
        <v>1999</v>
      </c>
      <c r="AJ5" s="2301" t="s">
        <v>2000</v>
      </c>
      <c r="AK5" s="1270" t="s">
        <v>2001</v>
      </c>
      <c r="AL5" s="1270" t="s">
        <v>2002</v>
      </c>
      <c r="AM5" s="70" t="s">
        <v>2003</v>
      </c>
      <c r="AN5" s="2302" t="s">
        <v>2004</v>
      </c>
      <c r="AO5" s="2072" t="s">
        <v>2005</v>
      </c>
      <c r="AP5" s="1251"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住宅</v>
      </c>
      <c r="B6" s="2305" t="str">
        <f>IF(A6=0,"","经营性")</f>
        <v>经营性</v>
      </c>
      <c r="C6" s="2306" t="s">
        <v>3144</v>
      </c>
      <c r="D6" s="1053">
        <f>SUMIF(项目基本情况!D$12:I$12,C6,项目基本情况!D$14:I$14)</f>
        <v>70</v>
      </c>
      <c r="E6" s="1050">
        <f>IF(B6="","",SUMIF(项目基本情况!D$12:I$12,C6,项目基本情况!D$13:I$13))</f>
        <v>59765</v>
      </c>
      <c r="F6" s="72">
        <f>SUMIF(项目基本情况!D$12:I$12,C6,项目基本情况!D$15:I$15)</f>
        <v>45.06</v>
      </c>
      <c r="G6" s="73">
        <f>IF(ISERROR(ROUND(POWER(1+H6,D6-F6)*(POWER(1+H6,F6)-1)/(POWER(1+H6,D6)-1),3)),0,ROUND(POWER(1+H6,D6-F6)*(POWER(1+H6,F6)-1)/(POWER(1+H6,D6)-1),3))</f>
        <v>0.91900000000000004</v>
      </c>
      <c r="H6" s="801">
        <v>0.05</v>
      </c>
      <c r="I6" s="801">
        <v>5.5E-2</v>
      </c>
      <c r="J6" s="74">
        <v>0.08</v>
      </c>
      <c r="K6" s="1253">
        <f>SUMIF('数据-汇总表'!C$19:C$33,A6,'数据-汇总表'!E$19:E$33)</f>
        <v>582.44000000000005</v>
      </c>
      <c r="L6" s="802">
        <v>4000</v>
      </c>
      <c r="M6" s="75">
        <f t="shared" ref="M6:M14" si="0">ROUND(K6*L6/10000,0)</f>
        <v>233</v>
      </c>
      <c r="N6" s="800">
        <v>0.92</v>
      </c>
      <c r="O6" s="75" t="str">
        <f>IF($N$5="成新度","——",ROUND(M6*N6,0))</f>
        <v>——</v>
      </c>
      <c r="P6" s="76" t="str">
        <f>IF($N$5="成新度","——",M6-O6)</f>
        <v>——</v>
      </c>
      <c r="Q6" s="803">
        <v>0.2</v>
      </c>
      <c r="R6" s="77">
        <f ca="1">SUMIF('数据-汇总表'!C$19:C$33,A6,'数据-汇总表'!R$19:R$27)</f>
        <v>577.58000000000004</v>
      </c>
      <c r="S6" s="54">
        <f>IF('数据-汇总表'!$I$17="按面积比例",SUMIF('数据-汇总表'!C$19:C$33,A6,'数据-汇总表'!K$19:K$33),SUMIF('数据-汇总表'!C$19:C$33,A6,'数据-汇总表'!N$19:N$33))</f>
        <v>0</v>
      </c>
      <c r="T6" s="1445">
        <f>ROUND($L$14*S6/10000,0)</f>
        <v>0</v>
      </c>
      <c r="U6" s="78">
        <v>6</v>
      </c>
      <c r="V6" s="79">
        <v>0.01</v>
      </c>
      <c r="W6" s="79">
        <f>1-(1-40%)*(1-20%)</f>
        <v>0.52</v>
      </c>
      <c r="X6" s="1263"/>
      <c r="Y6" s="80">
        <f>N6</f>
        <v>0.92</v>
      </c>
      <c r="Z6" s="81"/>
      <c r="AA6" s="74"/>
      <c r="AB6" s="74"/>
      <c r="AC6" s="1263"/>
      <c r="AD6" s="82"/>
      <c r="AE6" s="1264">
        <f ca="1">IF(AN6="",0,SUMIF(INDIRECT("'"&amp;AN6&amp;"'"&amp;"!E:E"),$AE$5,INDIRECT("'"&amp;AN6&amp;"'"&amp;"!F:F")))</f>
        <v>55</v>
      </c>
      <c r="AF6" s="1805"/>
      <c r="AG6" s="147">
        <f>IF(AF6="",0,AE6-AF6)</f>
        <v>0</v>
      </c>
      <c r="AH6" s="83"/>
      <c r="AI6" s="85">
        <v>365</v>
      </c>
      <c r="AJ6" s="86"/>
      <c r="AK6" s="87">
        <v>1.4999999999999999E-2</v>
      </c>
      <c r="AL6" s="88">
        <v>1.5E-3</v>
      </c>
      <c r="AM6" s="89">
        <v>0.01</v>
      </c>
      <c r="AN6" s="2307" t="s">
        <v>3151</v>
      </c>
      <c r="AO6" s="55">
        <f ca="1">SUMIF(INDIRECT("'"&amp;AN6&amp;"'"&amp;"!A:A"),"总价",INDIRECT("'"&amp;AN6&amp;"'"&amp;"!B:B"))</f>
        <v>970</v>
      </c>
      <c r="AP6" s="2308">
        <f>IF(C6="住宅",K6*L6,0)</f>
        <v>2329760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2009</v>
      </c>
      <c r="B14" s="2305" t="s">
        <v>2010</v>
      </c>
      <c r="C14" s="2310"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2011</v>
      </c>
      <c r="B15" s="2305" t="s">
        <v>2010</v>
      </c>
      <c r="C15" s="2310"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2013</v>
      </c>
      <c r="B16" s="97"/>
      <c r="C16" s="1007"/>
      <c r="D16" s="2312"/>
      <c r="E16" s="97"/>
      <c r="F16" s="97"/>
      <c r="G16" s="98">
        <f>ROUND(SUMPRODUCT(G6:G13,K6:K13)/SUMPRODUCT((G6:G13&gt;0)*(K6:K13)),3)</f>
        <v>0.91900000000000004</v>
      </c>
      <c r="H16" s="99">
        <f>ROUND(SUMPRODUCT(H6:H13,K6:K13)/SUMPRODUCT((H6:H13&gt;0)*(K6:K13)),3)</f>
        <v>0.05</v>
      </c>
      <c r="I16" s="100"/>
      <c r="J16" s="100"/>
      <c r="K16" s="101">
        <f>SUM(K6:K15)</f>
        <v>582.44000000000005</v>
      </c>
      <c r="L16" s="102">
        <f>ROUND(M16*10000/SUM(K6:K14),0)</f>
        <v>4000</v>
      </c>
      <c r="M16" s="102">
        <f>SUM(M6:M14)</f>
        <v>233</v>
      </c>
      <c r="N16" s="103">
        <f>ROUND(SUMPRODUCT(M6:M14,N6:N14)/M16,3)</f>
        <v>0.92</v>
      </c>
      <c r="O16" s="102">
        <f>SUM(O6:O14)</f>
        <v>0</v>
      </c>
      <c r="P16" s="102">
        <f>SUM(P6:P14)</f>
        <v>0</v>
      </c>
      <c r="Q16" s="104">
        <f>ROUND(SUMPRODUCT(Q6:Q13,K6:K13)/SUMPRODUCT((Q6:Q13&gt;0)*(K6:K13)),2)</f>
        <v>0.2</v>
      </c>
      <c r="R16" s="1257">
        <f ca="1">SUM(R6:R13)</f>
        <v>577.58000000000004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2">
        <v>0</v>
      </c>
      <c r="C19" s="2275" t="s">
        <v>2016</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3">
        <v>1</v>
      </c>
      <c r="C20" s="2275" t="s">
        <v>2018</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3">
        <v>1</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4">
        <f>B19+B20</f>
        <v>1</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2023</v>
      </c>
      <c r="B26" s="2318" t="s">
        <v>2024</v>
      </c>
      <c r="C26" s="2319" t="s">
        <v>2025</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116"/>
      <c r="C27" s="1766" t="s">
        <v>2027</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9"/>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1"/>
      <c r="C29" s="1766" t="s">
        <v>2030</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0.05</v>
      </c>
      <c r="C33" s="1765" t="s">
        <v>2035</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2">
        <v>0</v>
      </c>
      <c r="C34" s="1765" t="s">
        <v>2037</v>
      </c>
      <c r="D34" s="2276" t="s">
        <v>2038</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9">
        <v>200</v>
      </c>
      <c r="C35" s="1765" t="s">
        <v>2040</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3">
        <v>1.4999999999999999E-2</v>
      </c>
      <c r="C36" s="1765" t="s">
        <v>2042</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4">
        <v>0.02</v>
      </c>
      <c r="C37" s="1765" t="s">
        <v>2044</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2">
        <v>0.02</v>
      </c>
      <c r="C38" s="1765" t="s">
        <v>2044</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4.3499999999999997E-2</v>
      </c>
      <c r="C40" s="1765" t="s">
        <v>2048</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8">
        <v>7.0000000000000007E-2</v>
      </c>
      <c r="C44" s="1765" t="s">
        <v>2053</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6">
        <v>0.03</v>
      </c>
      <c r="C45" s="1766" t="s">
        <v>2055</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6">
        <v>0.02</v>
      </c>
      <c r="C46" s="1766" t="s">
        <v>2057</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9"/>
      <c r="C47" s="1766" t="s">
        <v>2059</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30">
        <v>0.03</v>
      </c>
      <c r="C48" s="1772" t="s">
        <v>2061</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6">
        <v>5.0000000000000001E-4</v>
      </c>
      <c r="C49" s="1772" t="s">
        <v>2063</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3">
        <f>SUMIF(A54:A63,B53,B54:B63)</f>
        <v>4</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442</v>
      </c>
      <c r="C53" s="1429" t="s">
        <v>2068</v>
      </c>
      <c r="D53" s="2335" t="s">
        <v>2069</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4">
        <v>4</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4" sqref="C14"/>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74" t="s">
        <v>2080</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27">
      <c r="A3" s="415" t="s">
        <v>2083</v>
      </c>
      <c r="B3" s="1270" t="s">
        <v>2084</v>
      </c>
      <c r="C3" s="2965" t="s">
        <v>3177</v>
      </c>
      <c r="D3" s="2368"/>
      <c r="E3" s="431" t="s">
        <v>2083</v>
      </c>
      <c r="F3" s="2369" t="s">
        <v>2085</v>
      </c>
      <c r="G3" s="2370"/>
      <c r="H3" s="2366"/>
      <c r="I3" s="2366"/>
      <c r="J3" s="2366"/>
      <c r="K3" s="2366"/>
      <c r="L3" s="2366"/>
      <c r="M3" s="2366"/>
      <c r="N3" s="2366"/>
      <c r="O3" s="2366"/>
      <c r="P3" s="2366"/>
      <c r="Q3" s="2366"/>
      <c r="R3" s="2366"/>
    </row>
    <row r="4" spans="1:29" ht="15">
      <c r="A4" s="431"/>
      <c r="B4" s="1796" t="s">
        <v>2086</v>
      </c>
      <c r="C4" s="2950" t="s">
        <v>3070</v>
      </c>
      <c r="D4" s="2368"/>
      <c r="E4" s="2371"/>
      <c r="F4" s="42" t="s">
        <v>2087</v>
      </c>
      <c r="G4" s="2372"/>
      <c r="H4" s="2366"/>
      <c r="I4" s="2366"/>
      <c r="J4" s="2366"/>
      <c r="K4" s="2366"/>
      <c r="L4" s="2366"/>
      <c r="M4" s="2366"/>
      <c r="N4" s="2366"/>
      <c r="O4" s="2366"/>
      <c r="P4" s="2366"/>
      <c r="Q4" s="2366"/>
      <c r="R4" s="2366"/>
    </row>
    <row r="5" spans="1:29" ht="15">
      <c r="A5" s="431"/>
      <c r="B5" s="1796" t="s">
        <v>2088</v>
      </c>
      <c r="C5" s="2950"/>
      <c r="D5" s="2368"/>
      <c r="E5" s="2371"/>
      <c r="F5" s="1796" t="s">
        <v>2089</v>
      </c>
      <c r="G5" s="2372"/>
      <c r="H5" s="2366"/>
      <c r="I5" s="2366"/>
      <c r="J5" s="2366"/>
      <c r="K5" s="2366"/>
      <c r="L5" s="2366"/>
      <c r="M5" s="2366"/>
      <c r="N5" s="2366"/>
      <c r="O5" s="2366"/>
      <c r="P5" s="2366"/>
      <c r="Q5" s="2366"/>
      <c r="R5" s="2366"/>
    </row>
    <row r="6" spans="1:29" ht="15">
      <c r="A6" s="431"/>
      <c r="B6" s="1796" t="s">
        <v>2090</v>
      </c>
      <c r="C6" s="2951" t="s">
        <v>3179</v>
      </c>
      <c r="D6" s="2368"/>
      <c r="E6" s="2371"/>
      <c r="F6" s="1796" t="s">
        <v>2091</v>
      </c>
      <c r="G6" s="2372"/>
      <c r="H6" s="2366"/>
      <c r="I6" s="2366"/>
      <c r="J6" s="2366"/>
      <c r="K6" s="2366"/>
      <c r="L6" s="2366"/>
      <c r="M6" s="2366"/>
      <c r="N6" s="2366"/>
      <c r="O6" s="2366"/>
      <c r="P6" s="2366"/>
      <c r="Q6" s="2366"/>
      <c r="R6" s="2366"/>
    </row>
    <row r="7" spans="1:29" ht="15.75" thickBot="1">
      <c r="A7" s="431"/>
      <c r="B7" s="1796" t="s">
        <v>2089</v>
      </c>
      <c r="C7" s="2951" t="s">
        <v>3070</v>
      </c>
      <c r="D7" s="2373"/>
      <c r="E7" s="2374"/>
      <c r="F7" s="2375" t="s">
        <v>2092</v>
      </c>
      <c r="G7" s="2376"/>
      <c r="H7" s="2366"/>
      <c r="I7" s="2366"/>
      <c r="J7" s="2366"/>
      <c r="K7" s="2366"/>
      <c r="L7" s="2366"/>
      <c r="M7" s="2366"/>
      <c r="N7" s="2366"/>
      <c r="O7" s="2366"/>
      <c r="P7" s="2366"/>
      <c r="Q7" s="2366"/>
      <c r="R7" s="2366"/>
    </row>
    <row r="8" spans="1:29" ht="15">
      <c r="A8" s="431"/>
      <c r="B8" s="1796" t="s">
        <v>2091</v>
      </c>
      <c r="C8" s="2951" t="s">
        <v>3071</v>
      </c>
      <c r="D8" s="2373"/>
      <c r="E8" s="2373"/>
      <c r="F8" s="1135"/>
      <c r="G8" s="1135"/>
      <c r="H8" s="2366"/>
      <c r="I8" s="2366"/>
      <c r="J8" s="2366"/>
      <c r="K8" s="2366"/>
      <c r="L8" s="2366"/>
      <c r="M8" s="2366"/>
      <c r="N8" s="2366"/>
      <c r="O8" s="2366"/>
      <c r="P8" s="2366"/>
      <c r="Q8" s="2366"/>
      <c r="R8" s="2366"/>
    </row>
    <row r="9" spans="1:29" ht="15">
      <c r="A9" s="431"/>
      <c r="B9" s="1796" t="s">
        <v>2093</v>
      </c>
      <c r="C9" s="2950" t="s">
        <v>3180</v>
      </c>
      <c r="D9" s="2368"/>
      <c r="E9" s="2373"/>
      <c r="F9" s="1135"/>
      <c r="G9" s="1135"/>
      <c r="H9" s="2366"/>
      <c r="I9" s="2366"/>
      <c r="J9" s="2366"/>
      <c r="K9" s="2366"/>
      <c r="L9" s="2366"/>
      <c r="M9" s="2366"/>
      <c r="N9" s="2366"/>
      <c r="O9" s="2366"/>
      <c r="P9" s="2366"/>
      <c r="Q9" s="2366"/>
      <c r="R9" s="2366"/>
    </row>
    <row r="10" spans="1:29" s="117" customFormat="1" ht="15.75" thickBot="1">
      <c r="A10" s="2377"/>
      <c r="B10" s="2378" t="s">
        <v>2094</v>
      </c>
      <c r="C10" s="2952"/>
      <c r="D10" s="2368"/>
      <c r="E10" s="2368"/>
      <c r="F10" s="1135"/>
      <c r="G10" s="1135"/>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3"/>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3"/>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2095</v>
      </c>
      <c r="B13" s="2383"/>
      <c r="C13" s="2383"/>
      <c r="D13" s="2390"/>
      <c r="E13" s="2383"/>
      <c r="F13" s="2383"/>
      <c r="G13" s="2383"/>
    </row>
    <row r="14" spans="1:29" ht="15.75" thickBot="1">
      <c r="A14" s="2394"/>
      <c r="B14" s="2395"/>
      <c r="C14" s="2396" t="s">
        <v>2096</v>
      </c>
      <c r="D14" s="2368"/>
      <c r="E14" s="2397"/>
      <c r="F14" s="2397"/>
      <c r="G14" s="2363" t="s">
        <v>2097</v>
      </c>
    </row>
    <row r="15" spans="1:29" ht="27">
      <c r="A15" s="68" t="s">
        <v>2098</v>
      </c>
      <c r="B15" s="1269" t="s">
        <v>2084</v>
      </c>
      <c r="C15" s="2398" t="str">
        <f>C3</f>
        <v>较好</v>
      </c>
      <c r="D15" s="2368"/>
      <c r="E15" s="2399" t="s">
        <v>2099</v>
      </c>
      <c r="F15" s="1269" t="s">
        <v>2100</v>
      </c>
      <c r="G15" s="135">
        <f>G3</f>
        <v>0</v>
      </c>
    </row>
    <row r="16" spans="1:29" ht="15">
      <c r="A16" s="645"/>
      <c r="B16" s="2400" t="s">
        <v>2086</v>
      </c>
      <c r="C16" s="2401" t="str">
        <f>C4</f>
        <v>一般</v>
      </c>
      <c r="D16" s="2368"/>
      <c r="E16" s="2402"/>
      <c r="F16" s="2403" t="s">
        <v>2087</v>
      </c>
      <c r="G16" s="136">
        <f>G4</f>
        <v>0</v>
      </c>
    </row>
    <row r="17" spans="1:18" ht="15">
      <c r="A17" s="645"/>
      <c r="B17" s="2400" t="s">
        <v>2088</v>
      </c>
      <c r="C17" s="2401">
        <f>C5</f>
        <v>0</v>
      </c>
      <c r="D17" s="2373"/>
      <c r="E17" s="2402"/>
      <c r="F17" s="2403" t="s">
        <v>2101</v>
      </c>
      <c r="G17" s="1571"/>
    </row>
    <row r="18" spans="1:18" ht="15">
      <c r="A18" s="645"/>
      <c r="B18" s="2403" t="s">
        <v>2090</v>
      </c>
      <c r="C18" s="136" t="str">
        <f>C6</f>
        <v>一般</v>
      </c>
      <c r="D18" s="2373"/>
      <c r="E18" s="2402"/>
      <c r="F18" s="2403" t="s">
        <v>2092</v>
      </c>
      <c r="G18" s="136">
        <f>G7</f>
        <v>0</v>
      </c>
    </row>
    <row r="19" spans="1:18" ht="15">
      <c r="A19" s="645"/>
      <c r="B19" s="2403" t="s">
        <v>2102</v>
      </c>
      <c r="C19" s="1571"/>
      <c r="D19" s="2368"/>
      <c r="E19" s="2402"/>
      <c r="F19" s="1796" t="s">
        <v>2089</v>
      </c>
      <c r="G19" s="136">
        <f>G5</f>
        <v>0</v>
      </c>
    </row>
    <row r="20" spans="1:18" ht="15">
      <c r="A20" s="645"/>
      <c r="B20" s="2403" t="s">
        <v>2103</v>
      </c>
      <c r="C20" s="2401" t="str">
        <f>C9</f>
        <v>一般</v>
      </c>
      <c r="D20" s="2373"/>
      <c r="E20" s="2402"/>
      <c r="F20" s="1796" t="s">
        <v>2104</v>
      </c>
      <c r="G20" s="136">
        <f>G6</f>
        <v>0</v>
      </c>
    </row>
    <row r="21" spans="1:18" ht="15">
      <c r="A21" s="645"/>
      <c r="B21" s="1796" t="s">
        <v>2089</v>
      </c>
      <c r="C21" s="136" t="str">
        <f>C7</f>
        <v>一般</v>
      </c>
      <c r="D21" s="2368"/>
      <c r="E21" s="2402"/>
      <c r="F21" s="2403" t="s">
        <v>2105</v>
      </c>
      <c r="G21" s="2404"/>
    </row>
    <row r="22" spans="1:18" ht="13.5" customHeight="1">
      <c r="A22" s="645"/>
      <c r="B22" s="1796" t="s">
        <v>2091</v>
      </c>
      <c r="C22" s="136" t="str">
        <f>C8</f>
        <v>六通</v>
      </c>
      <c r="D22" s="2368"/>
      <c r="E22" s="2402"/>
      <c r="F22" s="2403" t="s">
        <v>2094</v>
      </c>
      <c r="G22" s="1571"/>
    </row>
    <row r="23" spans="1:18" s="2366" customFormat="1" ht="15.75" thickBot="1">
      <c r="A23" s="645"/>
      <c r="B23" s="2403" t="s">
        <v>2105</v>
      </c>
      <c r="C23" s="2404" t="s">
        <v>3072</v>
      </c>
      <c r="D23" s="2391"/>
      <c r="E23" s="2405"/>
      <c r="F23" s="2406" t="s">
        <v>2106</v>
      </c>
      <c r="G23" s="2407"/>
      <c r="H23" s="2391"/>
      <c r="I23" s="2392"/>
      <c r="J23" s="2391"/>
      <c r="K23" s="2391"/>
      <c r="L23" s="2392"/>
      <c r="M23" s="2391"/>
      <c r="N23" s="2391"/>
      <c r="O23" s="2392"/>
      <c r="P23" s="2391"/>
      <c r="Q23" s="2391"/>
      <c r="R23" s="2393"/>
    </row>
    <row r="24" spans="1:18" s="2366"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7" sqref="C7"/>
    </sheetView>
  </sheetViews>
  <sheetFormatPr defaultRowHeight="13.5"/>
  <cols>
    <col min="1" max="1" width="23.375" style="1740" customWidth="1"/>
    <col min="2" max="9" width="15.75" style="1740" customWidth="1"/>
    <col min="10" max="16384" width="9" style="1740"/>
  </cols>
  <sheetData>
    <row r="1" spans="1:10" ht="16.5">
      <c r="A1" s="1745" t="s">
        <v>1365</v>
      </c>
      <c r="B1" s="1745">
        <f>SUM(B14:B23)</f>
        <v>4569.1499999999996</v>
      </c>
      <c r="C1" s="1744"/>
      <c r="D1" s="1744"/>
      <c r="E1" s="1744"/>
      <c r="F1" s="1744"/>
      <c r="G1" s="1742"/>
    </row>
    <row r="2" spans="1:10" ht="16.5">
      <c r="A2" s="1745" t="s">
        <v>1353</v>
      </c>
      <c r="B2" s="1745">
        <f>SUM(C14:C23)</f>
        <v>1155.1600000000001</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7134</v>
      </c>
      <c r="C5" s="1745">
        <f ca="1">ROUND(B5*10000/$B$1,0)</f>
        <v>15613</v>
      </c>
      <c r="D5" s="1745">
        <f ca="1">ROUND(B5*10000/$B$2,0)</f>
        <v>61758</v>
      </c>
      <c r="E5" s="1744"/>
      <c r="F5" s="1742"/>
      <c r="G5" s="1742"/>
    </row>
    <row r="6" spans="1:10" ht="16.5">
      <c r="A6" s="1745" t="s">
        <v>1356</v>
      </c>
      <c r="B6" s="1745">
        <f ca="1">SUM(G14:G23)</f>
        <v>7134</v>
      </c>
      <c r="C6" s="1745">
        <f ca="1">ROUND(B6*10000/$B$1,0)</f>
        <v>15613</v>
      </c>
      <c r="D6" s="1745">
        <f ca="1">ROUND(B6*10000/$B$2,0)</f>
        <v>61758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582.44000000000005</v>
      </c>
      <c r="C14" s="1743">
        <f>结果表!C118</f>
        <v>577.58000000000004</v>
      </c>
      <c r="D14" s="1743">
        <f ca="1">结果表!H118</f>
        <v>992</v>
      </c>
      <c r="E14" s="1743">
        <f ca="1">ROUND(D14*10000/B14,0)</f>
        <v>17032</v>
      </c>
      <c r="F14" s="1743">
        <f ca="1">ROUND(D14*10000/C14,0)</f>
        <v>17175</v>
      </c>
      <c r="G14" s="1743">
        <f ca="1">结果表!D122</f>
        <v>992</v>
      </c>
      <c r="H14" s="1743" t="str">
        <f>结果表!D124</f>
        <v>——</v>
      </c>
      <c r="I14" s="1743" t="str">
        <f>结果表!D126</f>
        <v>——</v>
      </c>
      <c r="J14" s="1742"/>
    </row>
    <row r="15" spans="1:10" ht="16.5">
      <c r="A15" s="1741" t="s">
        <v>1349</v>
      </c>
      <c r="B15" s="2979">
        <f>面积表!G8-系统读取表!B14</f>
        <v>3986.7099999999996</v>
      </c>
      <c r="C15" s="1748">
        <f>C14</f>
        <v>577.58000000000004</v>
      </c>
      <c r="D15" s="1748">
        <f ca="1">典型户型修正!S22-典型户型修正!S24</f>
        <v>6142</v>
      </c>
      <c r="E15" s="1743">
        <f t="shared" ref="E15:E23" ca="1" si="0">ROUND(D15*10000/B15,0)</f>
        <v>15406</v>
      </c>
      <c r="F15" s="1743">
        <f t="shared" ref="F15:F23" ca="1" si="1">ROUND(D15*10000/C15,0)</f>
        <v>106340</v>
      </c>
      <c r="G15" s="1749">
        <f ca="1">D15</f>
        <v>6142</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3" t="s">
        <v>2108</v>
      </c>
      <c r="B1" s="2414"/>
      <c r="C1" s="2415"/>
      <c r="D1" s="2414"/>
      <c r="E1" s="2414"/>
      <c r="F1" s="2416" t="s">
        <v>2109</v>
      </c>
      <c r="G1" s="2068" t="s">
        <v>3060</v>
      </c>
      <c r="H1" s="2417" t="str">
        <f>IF(G1="现房","——","估价对象范围")</f>
        <v>——</v>
      </c>
      <c r="I1" s="2418" t="s">
        <v>3073</v>
      </c>
    </row>
    <row r="2" spans="1:12" ht="21.75" customHeight="1" thickBot="1">
      <c r="A2" s="3148" t="str">
        <f>项目基本情况!S2</f>
        <v>广东省广州市从化区温泉镇明月山溪大道明月里二街1号房地产</v>
      </c>
      <c r="B2" s="3149"/>
      <c r="C2" s="3149"/>
      <c r="D2" s="3149"/>
      <c r="E2" s="3149"/>
      <c r="F2" s="3149"/>
      <c r="G2" s="3149"/>
      <c r="H2" s="3149"/>
      <c r="I2" s="3150"/>
    </row>
    <row r="3" spans="1:12" ht="12.75">
      <c r="A3" s="3151" t="s">
        <v>2110</v>
      </c>
      <c r="B3" s="3152"/>
      <c r="C3" s="3152"/>
      <c r="D3" s="3152"/>
      <c r="E3" s="3152"/>
      <c r="F3" s="3152"/>
      <c r="G3" s="3152"/>
      <c r="H3" s="3152"/>
      <c r="I3" s="3152"/>
    </row>
    <row r="4" spans="1:12" ht="14.25">
      <c r="A4" s="2421" t="s">
        <v>2111</v>
      </c>
      <c r="B4" s="2422" t="s">
        <v>2112</v>
      </c>
      <c r="C4" s="2423" t="s">
        <v>3191</v>
      </c>
      <c r="D4" s="2423" t="s">
        <v>3151</v>
      </c>
      <c r="E4" s="3132" t="s">
        <v>2113</v>
      </c>
      <c r="F4" s="3145"/>
      <c r="G4" s="3145"/>
      <c r="H4" s="3145"/>
      <c r="I4" s="3133"/>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23" t="s">
        <v>2114</v>
      </c>
      <c r="B5" s="3049">
        <v>25</v>
      </c>
      <c r="C5" s="3153"/>
      <c r="D5" s="3141"/>
      <c r="E5" s="140" t="s">
        <v>2115</v>
      </c>
      <c r="F5" s="2425"/>
      <c r="G5" s="2425"/>
      <c r="H5" s="2425"/>
      <c r="I5" s="1832"/>
    </row>
    <row r="6" spans="1:12" ht="12.75">
      <c r="A6" s="3123"/>
      <c r="B6" s="3049"/>
      <c r="C6" s="3155"/>
      <c r="D6" s="3141"/>
      <c r="E6" s="140" t="s">
        <v>2116</v>
      </c>
      <c r="F6" s="2425"/>
      <c r="G6" s="2425"/>
      <c r="H6" s="2425"/>
      <c r="I6" s="1832"/>
    </row>
    <row r="7" spans="1:12" ht="12.75">
      <c r="A7" s="3123"/>
      <c r="B7" s="3049"/>
      <c r="C7" s="3154"/>
      <c r="D7" s="3141"/>
      <c r="E7" s="140" t="s">
        <v>2117</v>
      </c>
      <c r="F7" s="2425"/>
      <c r="G7" s="2425"/>
      <c r="H7" s="2425"/>
      <c r="I7" s="1832"/>
    </row>
    <row r="8" spans="1:12" ht="12.75">
      <c r="A8" s="3123" t="s">
        <v>2118</v>
      </c>
      <c r="B8" s="3049">
        <v>15</v>
      </c>
      <c r="C8" s="3153"/>
      <c r="D8" s="3141"/>
      <c r="E8" s="140" t="s">
        <v>2119</v>
      </c>
      <c r="F8" s="2425"/>
      <c r="G8" s="2425"/>
      <c r="H8" s="2425"/>
      <c r="I8" s="1832"/>
    </row>
    <row r="9" spans="1:12" ht="12.75">
      <c r="A9" s="3123"/>
      <c r="B9" s="3049"/>
      <c r="C9" s="3154"/>
      <c r="D9" s="3141"/>
      <c r="E9" s="140" t="s">
        <v>2120</v>
      </c>
      <c r="F9" s="2425"/>
      <c r="G9" s="2425"/>
      <c r="H9" s="2425"/>
      <c r="I9" s="1832"/>
    </row>
    <row r="10" spans="1:12" ht="12.75">
      <c r="A10" s="3123" t="s">
        <v>2121</v>
      </c>
      <c r="B10" s="3049">
        <v>15</v>
      </c>
      <c r="C10" s="3153"/>
      <c r="D10" s="3141"/>
      <c r="E10" s="140" t="s">
        <v>2122</v>
      </c>
      <c r="F10" s="2425"/>
      <c r="G10" s="2425"/>
      <c r="H10" s="2425"/>
      <c r="I10" s="1832"/>
    </row>
    <row r="11" spans="1:12" ht="12.75">
      <c r="A11" s="3123"/>
      <c r="B11" s="3049"/>
      <c r="C11" s="3154"/>
      <c r="D11" s="3141"/>
      <c r="E11" s="140" t="s">
        <v>2123</v>
      </c>
      <c r="F11" s="2425"/>
      <c r="G11" s="2425"/>
      <c r="H11" s="2425"/>
      <c r="I11" s="1832"/>
    </row>
    <row r="12" spans="1:12" ht="12.75">
      <c r="A12" s="3123" t="s">
        <v>2124</v>
      </c>
      <c r="B12" s="3049">
        <v>15</v>
      </c>
      <c r="C12" s="3153"/>
      <c r="D12" s="3141"/>
      <c r="E12" s="140" t="s">
        <v>2125</v>
      </c>
      <c r="F12" s="2425"/>
      <c r="G12" s="2425"/>
      <c r="H12" s="2425"/>
      <c r="I12" s="1832"/>
    </row>
    <row r="13" spans="1:12" ht="12.75">
      <c r="A13" s="3123"/>
      <c r="B13" s="3049"/>
      <c r="C13" s="3154"/>
      <c r="D13" s="3141"/>
      <c r="E13" s="140" t="s">
        <v>2126</v>
      </c>
      <c r="F13" s="2425"/>
      <c r="G13" s="2425"/>
      <c r="H13" s="2425"/>
      <c r="I13" s="1832"/>
    </row>
    <row r="14" spans="1:12" ht="12.75">
      <c r="A14" s="3123" t="s">
        <v>2127</v>
      </c>
      <c r="B14" s="3049">
        <v>30</v>
      </c>
      <c r="C14" s="3153">
        <v>5</v>
      </c>
      <c r="D14" s="3141">
        <v>5</v>
      </c>
      <c r="E14" s="140" t="s">
        <v>2128</v>
      </c>
      <c r="F14" s="2425"/>
      <c r="G14" s="2425"/>
      <c r="H14" s="2425"/>
      <c r="I14" s="1832"/>
    </row>
    <row r="15" spans="1:12" ht="12.75">
      <c r="A15" s="3123"/>
      <c r="B15" s="3049"/>
      <c r="C15" s="3155"/>
      <c r="D15" s="3141"/>
      <c r="E15" s="140" t="s">
        <v>2129</v>
      </c>
      <c r="F15" s="2425"/>
      <c r="G15" s="2425"/>
      <c r="H15" s="2425"/>
      <c r="I15" s="1832"/>
    </row>
    <row r="16" spans="1:12" ht="12.75">
      <c r="A16" s="3123"/>
      <c r="B16" s="3049"/>
      <c r="C16" s="3154"/>
      <c r="D16" s="3141"/>
      <c r="E16" s="140" t="s">
        <v>2130</v>
      </c>
      <c r="F16" s="2425"/>
      <c r="G16" s="2425"/>
      <c r="H16" s="2425"/>
      <c r="I16" s="1832"/>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582.44000000000005</v>
      </c>
      <c r="M18" s="2424">
        <f>IF(C1="",'数据-汇总表'!E3,SUMIF(项目类型,C1,'数据-汇总表'!E17:E26))</f>
        <v>582.44000000000005</v>
      </c>
    </row>
    <row r="19" spans="1:35" ht="15">
      <c r="A19" s="2430" t="s">
        <v>2136</v>
      </c>
      <c r="B19" s="2431" t="s">
        <v>2137</v>
      </c>
      <c r="C19" s="143">
        <f ca="1">SUMIF(INDIRECT("'"&amp;C4&amp;"'"&amp;"!A:A"),结果表!B19,INDIRECT("'"&amp;C4&amp;"'"&amp;"!B:B"))</f>
        <v>1013</v>
      </c>
      <c r="D19" s="144">
        <f ca="1">SUMIF(INDIRECT("'"&amp;D4&amp;"'"&amp;"!A:A"),结果表!B19,INDIRECT("'"&amp;D4&amp;"'"&amp;"!B:B"))</f>
        <v>970</v>
      </c>
      <c r="E19" s="2430" t="s">
        <v>2138</v>
      </c>
      <c r="F19" s="2431" t="s">
        <v>2137</v>
      </c>
      <c r="G19" s="145">
        <f ca="1">ROUND(C19*$C$18+D19*$D$18,0)</f>
        <v>992</v>
      </c>
      <c r="H19" s="2432" t="s">
        <v>2139</v>
      </c>
      <c r="I19" s="138"/>
      <c r="K19" s="2424" t="s">
        <v>2140</v>
      </c>
      <c r="L19" s="2424">
        <f>IF(C1="",'数据-汇总表'!D3,SUMIF(项目类型,C1,'数据-汇总表'!D17:D26)+SUMIF(项目类型,C1,'数据-汇总表'!H17:H27))</f>
        <v>577.58000000000004</v>
      </c>
      <c r="M19" s="2424">
        <f>IF(C1="",'数据-汇总表'!D3,SUMIF(项目类型,C1,'数据-汇总表'!D17:D26))</f>
        <v>577.58000000000004</v>
      </c>
    </row>
    <row r="20" spans="1:35" ht="15">
      <c r="A20" s="2433"/>
      <c r="B20" s="1249" t="s">
        <v>2141</v>
      </c>
      <c r="C20" s="146">
        <f ca="1">SUMIF(INDIRECT("'"&amp;C4&amp;"'"&amp;"!A:A"),结果表!B20,INDIRECT("'"&amp;C4&amp;"'"&amp;"!B:B"))</f>
        <v>17396</v>
      </c>
      <c r="D20" s="147">
        <f ca="1">SUMIF(INDIRECT("'"&amp;D4&amp;"'"&amp;"!A:A"),结果表!B20,INDIRECT("'"&amp;D4&amp;"'"&amp;"!B:B"))</f>
        <v>16654</v>
      </c>
      <c r="E20" s="2433"/>
      <c r="F20" s="1249" t="s">
        <v>2141</v>
      </c>
      <c r="G20" s="148">
        <f ca="1">ROUND(C20*$C$18+D20*$D$18,0)</f>
        <v>17025</v>
      </c>
      <c r="H20" s="982" t="s">
        <v>2142</v>
      </c>
      <c r="I20" s="138"/>
    </row>
    <row r="21" spans="1:35" ht="15" customHeight="1" thickBot="1">
      <c r="A21" s="1002"/>
      <c r="B21" s="2434" t="s">
        <v>2143</v>
      </c>
      <c r="C21" s="788">
        <f ca="1">ROUND(C19*10000/L19,0)</f>
        <v>17539</v>
      </c>
      <c r="D21" s="789">
        <f ca="1">ROUND(D19*10000/L19,0)</f>
        <v>16794</v>
      </c>
      <c r="E21" s="1002"/>
      <c r="F21" s="2434" t="s">
        <v>2143</v>
      </c>
      <c r="G21" s="149">
        <f ca="1">ROUND(G19*10000/L19,0)</f>
        <v>17175</v>
      </c>
      <c r="H21" s="2435" t="s">
        <v>2142</v>
      </c>
      <c r="I21" s="138"/>
    </row>
    <row r="22" spans="1:35" ht="15" thickBot="1">
      <c r="A22" s="2279" t="s">
        <v>2144</v>
      </c>
      <c r="B22" s="2436"/>
      <c r="C22" s="2437"/>
      <c r="D22" s="790">
        <f ca="1">IF(C19&lt;D19,D19/C19-1,C19/D19-1)</f>
        <v>4.4329896907216559E-2</v>
      </c>
      <c r="E22" s="138"/>
      <c r="F22" s="138"/>
      <c r="G22" s="138"/>
      <c r="H22" s="138"/>
      <c r="I22" s="138"/>
    </row>
    <row r="23" spans="1:35" ht="13.5" thickBot="1">
      <c r="A23" s="2414"/>
      <c r="B23" s="2414"/>
      <c r="C23" s="2414"/>
      <c r="D23" s="2414"/>
      <c r="E23" s="138"/>
      <c r="F23" s="138"/>
      <c r="G23" s="138"/>
      <c r="H23" s="138"/>
      <c r="I23" s="138"/>
    </row>
    <row r="24" spans="1:35" ht="14.25">
      <c r="A24" s="3162" t="s">
        <v>2145</v>
      </c>
      <c r="B24" s="2431" t="s">
        <v>2137</v>
      </c>
      <c r="C24" s="145">
        <f>IF(B30=0,0,D30)</f>
        <v>0</v>
      </c>
      <c r="D24" s="2438"/>
      <c r="E24" s="138"/>
      <c r="F24" s="138"/>
      <c r="G24" s="138"/>
      <c r="H24" s="138"/>
      <c r="I24" s="138"/>
    </row>
    <row r="25" spans="1:35" ht="14.25">
      <c r="A25" s="3163"/>
      <c r="B25" s="1249"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3025</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2151</v>
      </c>
      <c r="B32" s="2444"/>
      <c r="C32" s="153">
        <f ca="1">IF(D32="总价",G19-C24,G20-C25)</f>
        <v>992</v>
      </c>
      <c r="D32" s="2445" t="s">
        <v>2152</v>
      </c>
      <c r="E32" s="138"/>
      <c r="F32" s="138"/>
      <c r="G32" s="138"/>
      <c r="H32" s="138"/>
      <c r="I32" s="138"/>
    </row>
    <row r="33" spans="1:15" ht="15">
      <c r="A33" s="959" t="s">
        <v>2153</v>
      </c>
      <c r="B33" s="2446"/>
      <c r="C33" s="2447"/>
      <c r="D33" s="2448"/>
      <c r="E33" s="2449" t="s">
        <v>2154</v>
      </c>
      <c r="F33" s="2450" t="str">
        <f>IF(D32="楼面单价","取值（单价）","取值（总价）")</f>
        <v>取值（总价）</v>
      </c>
      <c r="G33" s="138"/>
      <c r="H33" s="138"/>
      <c r="I33" s="138"/>
    </row>
    <row r="34" spans="1:15" ht="15">
      <c r="A34" s="2451"/>
      <c r="B34" s="2452"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3" t="s">
        <v>2156</v>
      </c>
      <c r="F34" s="1738"/>
      <c r="G34" s="138"/>
      <c r="H34" s="138"/>
      <c r="I34" s="138"/>
    </row>
    <row r="35" spans="1:15" ht="15.75" thickBot="1">
      <c r="A35" s="2454"/>
      <c r="B35" s="2455"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42" t="s">
        <v>2159</v>
      </c>
      <c r="B36" s="2457" t="s">
        <v>2160</v>
      </c>
      <c r="C36" s="154"/>
      <c r="D36" s="2458"/>
      <c r="E36" s="2459"/>
      <c r="F36" s="2460"/>
      <c r="G36" s="138"/>
      <c r="H36" s="138"/>
      <c r="I36" s="138"/>
    </row>
    <row r="37" spans="1:15" ht="15.75" thickBot="1">
      <c r="A37" s="3143"/>
      <c r="B37" s="2265" t="s">
        <v>2161</v>
      </c>
      <c r="C37" s="156"/>
      <c r="D37" s="1394"/>
      <c r="E37" s="1394"/>
      <c r="F37" s="2460"/>
      <c r="G37" s="138"/>
      <c r="H37" s="138"/>
      <c r="I37" s="138"/>
    </row>
    <row r="38" spans="1:15" ht="15.75" thickBot="1">
      <c r="A38" s="3144"/>
      <c r="B38" s="2461" t="s">
        <v>2162</v>
      </c>
      <c r="C38" s="726"/>
      <c r="D38" s="2462" t="s">
        <v>2163</v>
      </c>
      <c r="E38" s="1394"/>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59" t="s">
        <v>2173</v>
      </c>
      <c r="B45" s="3160"/>
      <c r="C45" s="3161"/>
      <c r="D45" s="164">
        <f ca="1">ROUND(H101*F45,0)</f>
        <v>992</v>
      </c>
      <c r="E45" s="165" t="s">
        <v>2174</v>
      </c>
      <c r="F45" s="166">
        <v>1</v>
      </c>
      <c r="G45" s="167" t="s">
        <v>2175</v>
      </c>
      <c r="H45" s="138"/>
      <c r="I45" s="138"/>
      <c r="J45" s="3078" t="s">
        <v>2176</v>
      </c>
      <c r="K45" s="3078"/>
      <c r="L45" s="3078"/>
      <c r="M45" s="3078"/>
      <c r="N45" s="3078"/>
      <c r="O45" s="3078"/>
    </row>
    <row r="46" spans="1:15" ht="14.25" customHeight="1">
      <c r="A46" s="3156" t="s">
        <v>2177</v>
      </c>
      <c r="B46" s="3157"/>
      <c r="C46" s="3157"/>
      <c r="D46" s="3157"/>
      <c r="E46" s="3157"/>
      <c r="F46" s="3157"/>
      <c r="G46" s="3158"/>
      <c r="H46" s="2476"/>
      <c r="I46" s="168"/>
      <c r="J46" s="1810">
        <v>1</v>
      </c>
      <c r="K46" s="3078" t="s">
        <v>2178</v>
      </c>
      <c r="L46" s="3078"/>
      <c r="M46" s="3079"/>
      <c r="N46" s="3079"/>
      <c r="O46" s="3079"/>
    </row>
    <row r="47" spans="1:15" ht="12" customHeight="1">
      <c r="A47" s="169" t="s">
        <v>2179</v>
      </c>
      <c r="B47" s="170"/>
      <c r="C47" s="171"/>
      <c r="D47" s="172" t="s">
        <v>2180</v>
      </c>
      <c r="E47" s="24" t="s">
        <v>2181</v>
      </c>
      <c r="F47" s="173" t="s">
        <v>2182</v>
      </c>
      <c r="G47" s="174" t="s">
        <v>2183</v>
      </c>
      <c r="H47" s="2476"/>
      <c r="I47" s="168"/>
      <c r="J47" s="1810">
        <v>2</v>
      </c>
      <c r="K47" s="3078" t="s">
        <v>2184</v>
      </c>
      <c r="L47" s="3078"/>
      <c r="M47" s="3080">
        <f>'数据-取费表'!B2</f>
        <v>43316</v>
      </c>
      <c r="N47" s="3080"/>
      <c r="O47" s="3080"/>
    </row>
    <row r="48" spans="1:15" ht="25.5">
      <c r="A48" s="3146" t="s">
        <v>2185</v>
      </c>
      <c r="B48" s="3147"/>
      <c r="C48" s="3147"/>
      <c r="D48" s="140">
        <f>IF(H48="情况1",0,IF(H48="情况2",D52,IF(H48="情况3",D53,IF(H48="情况4",D54))))</f>
        <v>0</v>
      </c>
      <c r="E48" s="1799" t="str">
        <f>IF(H48="情况4","(销售额-原购置价)×税（费）率","销售额×税（费）率")</f>
        <v>销售额×税（费）率</v>
      </c>
      <c r="F48" s="175" t="str">
        <f>IF(H48="情况1","免征",'数据-取费表'!B41)</f>
        <v>免征</v>
      </c>
      <c r="G48" s="2477" t="s">
        <v>2186</v>
      </c>
      <c r="H48" s="2478" t="s">
        <v>2187</v>
      </c>
      <c r="I48" s="2476"/>
      <c r="J48" s="1810">
        <v>3</v>
      </c>
      <c r="K48" s="3078" t="s">
        <v>2188</v>
      </c>
      <c r="L48" s="3078"/>
      <c r="M48" s="3081">
        <f ca="1">H101</f>
        <v>992</v>
      </c>
      <c r="N48" s="3081"/>
      <c r="O48" s="3081"/>
    </row>
    <row r="49" spans="1:35" ht="25.5" customHeight="1">
      <c r="A49" s="176" t="s">
        <v>2189</v>
      </c>
      <c r="B49" s="3126" t="s">
        <v>2190</v>
      </c>
      <c r="C49" s="3126"/>
      <c r="D49" s="177">
        <v>0</v>
      </c>
      <c r="E49" s="23" t="s">
        <v>2191</v>
      </c>
      <c r="F49" s="28" t="s">
        <v>34</v>
      </c>
      <c r="G49" s="3107"/>
      <c r="H49" s="138"/>
      <c r="I49" s="2479"/>
      <c r="J49" s="1810">
        <v>4</v>
      </c>
      <c r="K49" s="3078" t="str">
        <f>IF(项目基本情况!E8="房地产抵押价值","房地产抵押价值","抵押担保权已注销时的房地产抵押价值")</f>
        <v>房地产抵押价值</v>
      </c>
      <c r="L49" s="3078"/>
      <c r="M49" s="3081">
        <f ca="1">IF(项目基本情况!E8="房地产抵押价值",H107,H109)</f>
        <v>992</v>
      </c>
      <c r="N49" s="3081"/>
      <c r="O49" s="3081"/>
    </row>
    <row r="50" spans="1:35" ht="25.5" customHeight="1">
      <c r="A50" s="178"/>
      <c r="B50" s="3126" t="s">
        <v>2192</v>
      </c>
      <c r="C50" s="3126"/>
      <c r="D50" s="179"/>
      <c r="E50" s="31"/>
      <c r="F50" s="180"/>
      <c r="G50" s="3108"/>
      <c r="H50" s="138"/>
      <c r="I50" s="2479"/>
      <c r="J50" s="3078" t="s">
        <v>2193</v>
      </c>
      <c r="K50" s="3078"/>
      <c r="L50" s="3078"/>
      <c r="M50" s="3078"/>
      <c r="N50" s="3078"/>
      <c r="O50" s="3078"/>
    </row>
    <row r="51" spans="1:35" ht="12" customHeight="1">
      <c r="A51" s="181"/>
      <c r="B51" s="3126" t="s">
        <v>2194</v>
      </c>
      <c r="C51" s="3126"/>
      <c r="D51" s="182"/>
      <c r="E51" s="30"/>
      <c r="F51" s="180"/>
      <c r="G51" s="3109"/>
      <c r="H51" s="138"/>
      <c r="I51" s="2479"/>
      <c r="J51" s="2480" t="s">
        <v>2195</v>
      </c>
      <c r="K51" s="3078" t="s">
        <v>2196</v>
      </c>
      <c r="L51" s="3078"/>
      <c r="M51" s="2480" t="s">
        <v>2197</v>
      </c>
      <c r="N51" s="2480" t="s">
        <v>2198</v>
      </c>
      <c r="O51" s="2480" t="s">
        <v>2199</v>
      </c>
    </row>
    <row r="52" spans="1:35" ht="24" customHeight="1">
      <c r="A52" s="183" t="s">
        <v>2200</v>
      </c>
      <c r="B52" s="3126" t="s">
        <v>2201</v>
      </c>
      <c r="C52" s="3126"/>
      <c r="D52" s="182">
        <f ca="1">ROUND(D45*'数据-取费表'!B41/(1+'数据-取费表'!C42),0)</f>
        <v>53</v>
      </c>
      <c r="E52" s="11" t="s">
        <v>2202</v>
      </c>
      <c r="F52" s="184">
        <f>'数据-取费表'!B41</f>
        <v>5.6000000000000001E-2</v>
      </c>
      <c r="G52" s="2481"/>
      <c r="H52" s="138"/>
      <c r="I52" s="2479"/>
      <c r="J52" s="1810">
        <v>1</v>
      </c>
      <c r="K52" s="3101" t="s">
        <v>2203</v>
      </c>
      <c r="L52" s="3101"/>
      <c r="M52" s="1753">
        <f>D48</f>
        <v>0</v>
      </c>
      <c r="N52" s="1810" t="str">
        <f>E48</f>
        <v>销售额×税（费）率</v>
      </c>
      <c r="O52" s="1754" t="str">
        <f>F48</f>
        <v>免征</v>
      </c>
    </row>
    <row r="53" spans="1:35" ht="12" customHeight="1">
      <c r="A53" s="183" t="s">
        <v>2204</v>
      </c>
      <c r="B53" s="3127" t="s">
        <v>2205</v>
      </c>
      <c r="C53" s="3128"/>
      <c r="D53" s="182">
        <f ca="1">ROUND(D45*'数据-取费表'!B41/(1+'数据-取费表'!C42),0)</f>
        <v>53</v>
      </c>
      <c r="E53" s="11" t="s">
        <v>2202</v>
      </c>
      <c r="F53" s="184">
        <f>'数据-取费表'!B41</f>
        <v>5.6000000000000001E-2</v>
      </c>
      <c r="G53" s="2481"/>
      <c r="H53" s="138"/>
      <c r="I53" s="2479"/>
      <c r="J53" s="1810">
        <v>2</v>
      </c>
      <c r="K53" s="3101" t="s">
        <v>2206</v>
      </c>
      <c r="L53" s="3101"/>
      <c r="M53" s="1753">
        <f t="shared" ref="M53:O54" ca="1" si="0">D55</f>
        <v>0</v>
      </c>
      <c r="N53" s="1810" t="str">
        <f t="shared" si="0"/>
        <v>销售额×税（费）率</v>
      </c>
      <c r="O53" s="1754">
        <f t="shared" si="0"/>
        <v>5.0000000000000001E-4</v>
      </c>
    </row>
    <row r="54" spans="1:35" ht="12" customHeight="1">
      <c r="A54" s="183" t="s">
        <v>2207</v>
      </c>
      <c r="B54" s="3127" t="s">
        <v>2208</v>
      </c>
      <c r="C54" s="3128"/>
      <c r="D54" s="182">
        <f ca="1">C68</f>
        <v>53</v>
      </c>
      <c r="E54" s="30" t="s">
        <v>2209</v>
      </c>
      <c r="F54" s="184">
        <f>'数据-取费表'!B41</f>
        <v>5.6000000000000001E-2</v>
      </c>
      <c r="G54" s="2481"/>
      <c r="H54" s="2482"/>
      <c r="I54" s="2479"/>
      <c r="J54" s="1810">
        <v>3</v>
      </c>
      <c r="K54" s="3101" t="s">
        <v>2210</v>
      </c>
      <c r="L54" s="3101"/>
      <c r="M54" s="1753">
        <f t="shared" ca="1" si="0"/>
        <v>561</v>
      </c>
      <c r="N54" s="1810" t="str">
        <f t="shared" si="0"/>
        <v>增值额×税（费）率</v>
      </c>
      <c r="O54" s="1755" t="str">
        <f t="shared" si="0"/>
        <v>——</v>
      </c>
    </row>
    <row r="55" spans="1:35" ht="24" customHeight="1">
      <c r="A55" s="3165" t="s">
        <v>2211</v>
      </c>
      <c r="B55" s="3147"/>
      <c r="C55" s="3147"/>
      <c r="D55" s="185">
        <f ca="1">IF(H55="个人住宅",0,ROUND(D45*I55,0))</f>
        <v>0</v>
      </c>
      <c r="E55" s="11" t="s">
        <v>2212</v>
      </c>
      <c r="F55" s="184">
        <f>IF(H55="正常",I55,"免征")</f>
        <v>5.0000000000000001E-4</v>
      </c>
      <c r="G55" s="2481"/>
      <c r="H55" s="2478" t="s">
        <v>2213</v>
      </c>
      <c r="I55" s="186">
        <f>'数据-取费表'!B49</f>
        <v>5.0000000000000001E-4</v>
      </c>
      <c r="J55" s="1810" t="str">
        <f>IF(H59="非个人房产","",4)</f>
        <v/>
      </c>
      <c r="K55" s="3101" t="str">
        <f>IF(H59="非个人房产","——","个人所得税")</f>
        <v>——</v>
      </c>
      <c r="L55" s="3101"/>
      <c r="M55" s="1756" t="str">
        <f>D59</f>
        <v>——</v>
      </c>
      <c r="N55" s="1808" t="str">
        <f>E59</f>
        <v>——</v>
      </c>
      <c r="O55" s="1757" t="str">
        <f>F59</f>
        <v>——</v>
      </c>
    </row>
    <row r="56" spans="1:35" ht="24.75">
      <c r="A56" s="3165" t="s">
        <v>2214</v>
      </c>
      <c r="B56" s="3147"/>
      <c r="C56" s="3147"/>
      <c r="D56" s="185">
        <f ca="1">IF(H56="个人住宅",D57,D58)</f>
        <v>561</v>
      </c>
      <c r="E56" s="11" t="s">
        <v>2215</v>
      </c>
      <c r="F56" s="184" t="str">
        <f>IF(H56="正常",F58,"免征")</f>
        <v>——</v>
      </c>
      <c r="G56" s="2483" t="s">
        <v>2216</v>
      </c>
      <c r="H56" s="2484" t="s">
        <v>2213</v>
      </c>
      <c r="I56" s="2485"/>
      <c r="J56" s="1810" t="str">
        <f>IF(项目基本情况!K6="上海银行",IF(J55="",4,J55+1),"")</f>
        <v/>
      </c>
      <c r="K56" s="3084" t="str">
        <f>IF(项目基本情况!K6="上海银行","其他处置费用","")</f>
        <v/>
      </c>
      <c r="L56" s="3085"/>
      <c r="M56" s="1753" t="str">
        <f>IF(项目基本情况!K6="上海银行",M69,"")</f>
        <v/>
      </c>
      <c r="N56" s="3087" t="str">
        <f>IF(项目基本情况!K6="上海银行","包含处置中涉及的律师、诉讼、拍卖、评估等费用","")</f>
        <v/>
      </c>
      <c r="O56" s="3088"/>
    </row>
    <row r="57" spans="1:35" ht="12.75">
      <c r="A57" s="183" t="s">
        <v>2189</v>
      </c>
      <c r="B57" s="3132" t="s">
        <v>2217</v>
      </c>
      <c r="C57" s="3133"/>
      <c r="D57" s="187">
        <v>0</v>
      </c>
      <c r="E57" s="23" t="s">
        <v>2191</v>
      </c>
      <c r="F57" s="155"/>
      <c r="G57" s="2481"/>
      <c r="H57" s="2485"/>
      <c r="I57" s="2485"/>
      <c r="J57" s="3101">
        <f>IF(AND(J55="",J56=""),4,IF(项目基本情况!K6="上海银行",结果表!J56+1,结果表!J55+1))</f>
        <v>4</v>
      </c>
      <c r="K57" s="3101" t="s">
        <v>2218</v>
      </c>
      <c r="L57" s="2486" t="s">
        <v>2219</v>
      </c>
      <c r="M57" s="1758"/>
      <c r="N57" s="1759">
        <f ca="1">SUMIF(M52:M56,"&lt;9e307")</f>
        <v>561</v>
      </c>
      <c r="O57" s="2487"/>
      <c r="P57" s="1752">
        <f ca="1">N57/M49</f>
        <v>0.56552419354838712</v>
      </c>
    </row>
    <row r="58" spans="1:35" ht="24.75">
      <c r="A58" s="183" t="s">
        <v>2200</v>
      </c>
      <c r="B58" s="3132" t="s">
        <v>2220</v>
      </c>
      <c r="C58" s="3145"/>
      <c r="D58" s="185">
        <f ca="1">IF(H58="转让取得",C81,C97)</f>
        <v>561</v>
      </c>
      <c r="E58" s="11" t="s">
        <v>2215</v>
      </c>
      <c r="F58" s="24" t="s">
        <v>34</v>
      </c>
      <c r="G58" s="2481"/>
      <c r="H58" s="2484" t="s">
        <v>2221</v>
      </c>
      <c r="I58" s="2485"/>
      <c r="J58" s="3101"/>
      <c r="K58" s="3101"/>
      <c r="L58" s="2486" t="s">
        <v>2222</v>
      </c>
      <c r="M58" s="1760"/>
      <c r="N58" s="2488" t="str">
        <f ca="1">NUMBERSTRING(INT(N57*10000),2)&amp;"元整"</f>
        <v>伍佰陆拾壹万元整</v>
      </c>
      <c r="O58" s="2489"/>
    </row>
    <row r="59" spans="1:35" ht="24.75" thickBot="1">
      <c r="A59" s="3105" t="s">
        <v>2223</v>
      </c>
      <c r="B59" s="3106"/>
      <c r="C59" s="3106"/>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03">
        <f>J57+1</f>
        <v>5</v>
      </c>
      <c r="K59" s="3101" t="s">
        <v>2225</v>
      </c>
      <c r="L59" s="1810" t="s">
        <v>2219</v>
      </c>
      <c r="M59" s="1761"/>
      <c r="N59" s="1762">
        <f ca="1">M49-N57</f>
        <v>431</v>
      </c>
      <c r="O59" s="2491"/>
    </row>
    <row r="60" spans="1:35" ht="12" customHeight="1">
      <c r="A60" s="2492"/>
      <c r="B60" s="2414"/>
      <c r="C60" s="2414"/>
      <c r="D60" s="2414"/>
      <c r="E60" s="2164"/>
      <c r="F60" s="2485"/>
      <c r="G60" s="2485"/>
      <c r="H60" s="2493"/>
      <c r="I60" s="138"/>
      <c r="J60" s="3104"/>
      <c r="K60" s="3101"/>
      <c r="L60" s="2486" t="s">
        <v>2222</v>
      </c>
      <c r="M60" s="1760"/>
      <c r="N60" s="2488" t="str">
        <f ca="1">NUMBERSTRING(INT(N59*10000),2)&amp;"元整"</f>
        <v>肆佰叁拾壹万元整</v>
      </c>
      <c r="O60" s="2489"/>
    </row>
    <row r="61" spans="1:35" ht="13.5" thickBot="1">
      <c r="A61" s="3164" t="s">
        <v>2226</v>
      </c>
      <c r="B61" s="3164"/>
      <c r="C61" s="3164"/>
      <c r="D61" s="3164"/>
      <c r="E61" s="3164"/>
      <c r="F61" s="2485"/>
      <c r="G61" s="2485"/>
      <c r="H61" s="2493"/>
      <c r="I61" s="138"/>
      <c r="J61" s="1810">
        <f>J59+1</f>
        <v>6</v>
      </c>
      <c r="K61" s="3101" t="s">
        <v>2227</v>
      </c>
      <c r="L61" s="3101"/>
      <c r="M61" s="1763"/>
      <c r="N61" s="1764">
        <f ca="1">ROUND(N59*10000/'数据-汇总表'!E3,0)</f>
        <v>7400</v>
      </c>
      <c r="O61" s="2494"/>
    </row>
    <row r="62" spans="1:35" ht="12.75">
      <c r="A62" s="3121" t="s">
        <v>2228</v>
      </c>
      <c r="B62" s="3122"/>
      <c r="C62" s="1802"/>
      <c r="D62" s="1802" t="s">
        <v>2229</v>
      </c>
      <c r="E62" s="192" t="s">
        <v>2230</v>
      </c>
      <c r="F62" s="2485"/>
      <c r="G62" s="2485"/>
      <c r="H62" s="2493"/>
      <c r="I62" s="138"/>
    </row>
    <row r="63" spans="1:35" ht="12.75">
      <c r="A63" s="203" t="s">
        <v>775</v>
      </c>
      <c r="B63" s="193" t="s">
        <v>2231</v>
      </c>
      <c r="C63" s="194">
        <f ca="1">ROUND((C64+C65)/(1+'数据-取费表'!C42),0)</f>
        <v>945</v>
      </c>
      <c r="D63" s="195"/>
      <c r="E63" s="196"/>
      <c r="F63" s="2485"/>
      <c r="G63" s="2485"/>
      <c r="H63" s="2493"/>
      <c r="I63" s="138"/>
      <c r="J63" s="3086" t="s">
        <v>2232</v>
      </c>
      <c r="K63" s="2495" t="s">
        <v>2233</v>
      </c>
      <c r="L63" s="1751">
        <f ca="1">IF(M49&gt;10000,M49*0.5%,IF(AND(M49&gt;1000,M49&lt;=10000),M49*1%,IF(AND(M49&gt;100,M49&lt;=1000),M49*3%,IF(AND(M49&gt;10,M49&lt;=100),M49*5%,M49*8%))))</f>
        <v>29.759999999999998</v>
      </c>
      <c r="M63" s="24">
        <f ca="1">ROUND(L63,1)</f>
        <v>29.8</v>
      </c>
      <c r="Z63" s="2419"/>
      <c r="AI63" s="2420"/>
    </row>
    <row r="64" spans="1:35" ht="14.25" customHeight="1">
      <c r="A64" s="197" t="s">
        <v>770</v>
      </c>
      <c r="B64" s="198" t="s">
        <v>2234</v>
      </c>
      <c r="C64" s="199">
        <f ca="1">D45</f>
        <v>992</v>
      </c>
      <c r="D64" s="200" t="s">
        <v>32</v>
      </c>
      <c r="E64" s="201"/>
      <c r="F64" s="2485"/>
      <c r="G64" s="2485"/>
      <c r="H64" s="2493"/>
      <c r="I64" s="138"/>
      <c r="J64" s="3086"/>
      <c r="K64" s="2495" t="s">
        <v>2235</v>
      </c>
      <c r="L64" s="1751">
        <f ca="1">IF(M49&gt;2000,M49*0.5%,IF(AND(M49&gt;1000,M49&lt;=2000),M49*0.6%,IF(AND(M49&gt;500,M49&lt;=1000),M49*0.7%,IF(AND(M49&gt;200,M49&lt;=500),M49*0.8%,IF(AND(M49&gt;100,M49&lt;=200),M49*0.9%,IF(AND(M49&gt;50,M49&lt;=100),M49*1%,IF(AND(M49&gt;20,M49&lt;=50),M49*1.5%,IF(AND(M49&gt;10,M49&lt;=20),M49*2%,IF(AND(M49&gt;1,M49&lt;=10),M49*2.5%)))))))))</f>
        <v>6.9439999999999991</v>
      </c>
      <c r="M64" s="24">
        <f t="shared" ref="M64:M65" ca="1" si="1">ROUND(L64,1)</f>
        <v>6.9</v>
      </c>
      <c r="N64" s="138" t="s">
        <v>2236</v>
      </c>
      <c r="Z64" s="2419"/>
      <c r="AI64" s="2420"/>
    </row>
    <row r="65" spans="1:35" ht="14.25" customHeight="1">
      <c r="A65" s="197" t="s">
        <v>771</v>
      </c>
      <c r="B65" s="198" t="s">
        <v>2237</v>
      </c>
      <c r="C65" s="202"/>
      <c r="D65" s="200"/>
      <c r="E65" s="201"/>
      <c r="F65" s="2485"/>
      <c r="G65" s="2485"/>
      <c r="H65" s="2493"/>
      <c r="I65" s="138"/>
      <c r="J65" s="3086"/>
      <c r="K65" s="2495" t="s">
        <v>2238</v>
      </c>
      <c r="L65" s="1751">
        <f ca="1">IF(M49&gt;1000,M49*0.1%,IF(AND(M49&gt;500,M49&lt;=1000),M49*0.5%,IF(AND(M49&gt;50,M49&lt;=500),M49*1%,IF(AND(M49&gt;1,M49&lt;=50),M49*1.5%))))</f>
        <v>4.96</v>
      </c>
      <c r="M65" s="24">
        <f t="shared" ca="1" si="1"/>
        <v>5</v>
      </c>
      <c r="N65" s="138" t="s">
        <v>2236</v>
      </c>
      <c r="Z65" s="2419"/>
      <c r="AI65" s="2420"/>
    </row>
    <row r="66" spans="1:35" ht="14.25" customHeight="1">
      <c r="A66" s="203" t="s">
        <v>772</v>
      </c>
      <c r="B66" s="204" t="s">
        <v>2239</v>
      </c>
      <c r="C66" s="205"/>
      <c r="D66" s="206" t="s">
        <v>32</v>
      </c>
      <c r="E66" s="1774" t="s">
        <v>1371</v>
      </c>
      <c r="F66" s="2485"/>
      <c r="G66" s="2485"/>
      <c r="H66" s="2493"/>
      <c r="I66" s="138"/>
      <c r="J66" s="3086"/>
      <c r="K66" s="2495" t="s">
        <v>2240</v>
      </c>
      <c r="L66" s="1751">
        <f ca="1">M49*0.5%</f>
        <v>4.96</v>
      </c>
      <c r="M66" s="24">
        <f ca="1">IF(L66&gt;0.5,0.5,ROUND(L66,0))</f>
        <v>0.5</v>
      </c>
      <c r="N66" s="138" t="s">
        <v>2241</v>
      </c>
      <c r="Z66" s="2419"/>
      <c r="AI66" s="2420"/>
    </row>
    <row r="67" spans="1:35" ht="14.25" customHeight="1">
      <c r="A67" s="203" t="s">
        <v>773</v>
      </c>
      <c r="B67" s="204" t="s">
        <v>2242</v>
      </c>
      <c r="C67" s="207">
        <f ca="1">C63-C66</f>
        <v>945</v>
      </c>
      <c r="D67" s="200" t="s">
        <v>32</v>
      </c>
      <c r="E67" s="201"/>
      <c r="F67" s="2485"/>
      <c r="G67" s="2485"/>
      <c r="H67" s="2493"/>
      <c r="I67" s="138"/>
      <c r="J67" s="3086"/>
      <c r="K67" s="2495" t="s">
        <v>2243</v>
      </c>
      <c r="L67" s="1751">
        <f ca="1">IF(M49&gt;=10000,(8.25+(M49-10000)*0.01%),IF(AND(M49&gt;=8000,M49&lt;10000),(7.85+(M49-8000)*0.02%),IF(AND(M49&gt;=5000,M49&lt;8000),(6.65+(M49-5000)*0.04%),IF(AND(M49&gt;=2000,M49&lt;5000),(4.25+(PM49-2000)*0.08%),IF(AND(M49&gt;=1000,M49&lt;2000),(2.75+(M49-1000)*0.15%),IF(AND(M49&gt;=100,M49&lt;1000),(0.5+(M49-100)*0.25%),IF(AND(M49&gt;0,M49&lt;100),M49*0.5%)))))))</f>
        <v>2.73</v>
      </c>
      <c r="M67" s="24">
        <f ca="1">ROUND(L67*0.9,1)</f>
        <v>2.5</v>
      </c>
      <c r="Z67" s="2419"/>
      <c r="AI67" s="2420"/>
    </row>
    <row r="68" spans="1:35" ht="14.25" customHeight="1" thickBot="1">
      <c r="A68" s="208" t="s">
        <v>774</v>
      </c>
      <c r="B68" s="209" t="s">
        <v>2244</v>
      </c>
      <c r="C68" s="210">
        <f ca="1">IF(C67&lt;=0,0,ROUND(C67*D68,0))</f>
        <v>53</v>
      </c>
      <c r="D68" s="211">
        <f>'数据-取费表'!B41</f>
        <v>5.6000000000000001E-2</v>
      </c>
      <c r="E68" s="212"/>
      <c r="F68" s="2485"/>
      <c r="G68" s="2485"/>
      <c r="H68" s="2493"/>
      <c r="I68" s="138"/>
      <c r="J68" s="3086"/>
      <c r="K68" s="2495" t="s">
        <v>2245</v>
      </c>
      <c r="L68" s="1751">
        <f ca="1">IF(M49&gt;10000,M49*0.5%,IF(AND(M49&gt;5000,M49&lt;=10000),M49*1%,IF(AND(M49&gt;1000,M49&lt;=5000),M49*2%,IF(AND(M49&gt;200,M49&lt;=1000),M49*3%,M49*5%))))</f>
        <v>29.759999999999998</v>
      </c>
      <c r="M68" s="24">
        <f ca="1">ROUND(L68,1)</f>
        <v>29.8</v>
      </c>
      <c r="Z68" s="2419"/>
      <c r="AI68" s="2420"/>
    </row>
    <row r="69" spans="1:35" s="2442" customFormat="1" ht="16.5" customHeight="1">
      <c r="A69" s="2496"/>
      <c r="B69" s="2497"/>
      <c r="C69" s="2498"/>
      <c r="D69" s="2499"/>
      <c r="E69" s="2500"/>
      <c r="F69" s="2164"/>
      <c r="G69" s="2164"/>
      <c r="H69" s="2163"/>
      <c r="I69" s="2414"/>
      <c r="J69" s="3086"/>
      <c r="K69" s="2495" t="s">
        <v>2246</v>
      </c>
      <c r="L69" s="2501"/>
      <c r="M69" s="24">
        <f ca="1">ROUND(SUM(M63:M68),0)</f>
        <v>75</v>
      </c>
      <c r="N69" s="1752">
        <f ca="1">M69/M49</f>
        <v>7.5604838709677422E-2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30" t="s">
        <v>2247</v>
      </c>
      <c r="B70" s="3131"/>
      <c r="C70" s="3131"/>
      <c r="D70" s="3131"/>
      <c r="E70" s="3131"/>
      <c r="F70" s="3131"/>
      <c r="G70" s="3131"/>
      <c r="H70" s="313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1" t="s">
        <v>2228</v>
      </c>
      <c r="B71" s="3122"/>
      <c r="C71" s="1802"/>
      <c r="D71" s="1802"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945</v>
      </c>
      <c r="D72" s="200" t="s">
        <v>32</v>
      </c>
      <c r="E72" s="1801"/>
      <c r="F72" s="1795"/>
      <c r="G72" s="179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6</v>
      </c>
      <c r="D73" s="200" t="s">
        <v>32</v>
      </c>
      <c r="E73" s="1801"/>
      <c r="F73" s="1795"/>
      <c r="G73" s="179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801"/>
      <c r="F74" s="1795"/>
      <c r="G74" s="179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27" t="s">
        <v>2256</v>
      </c>
      <c r="F76" s="3126"/>
      <c r="G76" s="3126"/>
      <c r="H76" s="312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6</v>
      </c>
      <c r="D78" s="226">
        <f>'数据-取费表'!B43</f>
        <v>6.000000000000001E-3</v>
      </c>
      <c r="E78" s="3118" t="s">
        <v>2261</v>
      </c>
      <c r="F78" s="3119"/>
      <c r="G78" s="3119"/>
      <c r="H78" s="312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939</v>
      </c>
      <c r="D79" s="200" t="s">
        <v>32</v>
      </c>
      <c r="E79" s="1801"/>
      <c r="F79" s="1795"/>
      <c r="G79" s="179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156.5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0" t="s">
        <v>2265</v>
      </c>
      <c r="B83" s="3131"/>
      <c r="C83" s="3131"/>
      <c r="D83" s="3131"/>
      <c r="E83" s="3131"/>
      <c r="F83" s="3131"/>
      <c r="G83" s="3131"/>
      <c r="H83" s="313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1" t="s">
        <v>2228</v>
      </c>
      <c r="B84" s="3122"/>
      <c r="C84" s="1802"/>
      <c r="D84" s="1802"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945</v>
      </c>
      <c r="D85" s="200" t="s">
        <v>32</v>
      </c>
      <c r="E85" s="1801"/>
      <c r="F85" s="1795"/>
      <c r="G85" s="179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6</v>
      </c>
      <c r="D86" s="235"/>
      <c r="E86" s="1801"/>
      <c r="F86" s="1795"/>
      <c r="G86" s="179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8"/>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118" t="s">
        <v>2274</v>
      </c>
      <c r="F91" s="3119"/>
      <c r="G91" s="3119"/>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18" t="s">
        <v>2278</v>
      </c>
      <c r="F92" s="3119"/>
      <c r="G92" s="3119"/>
      <c r="H92" s="312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6</v>
      </c>
      <c r="D93" s="226">
        <f>'数据-取费表'!B43</f>
        <v>6.000000000000001E-3</v>
      </c>
      <c r="E93" s="3118" t="s">
        <v>2261</v>
      </c>
      <c r="F93" s="3119"/>
      <c r="G93" s="3119"/>
      <c r="H93" s="312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66" t="s">
        <v>2282</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939</v>
      </c>
      <c r="D95" s="200" t="s">
        <v>32</v>
      </c>
      <c r="E95" s="1801"/>
      <c r="F95" s="1795"/>
      <c r="G95" s="179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156.5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2283</v>
      </c>
      <c r="B99" s="2414"/>
      <c r="C99" s="2414"/>
      <c r="D99" s="2414"/>
      <c r="E99" s="2164"/>
      <c r="F99" s="2164"/>
      <c r="G99" s="2164"/>
      <c r="H99" s="2163"/>
      <c r="I99" s="138"/>
    </row>
    <row r="100" spans="1:35" ht="18.75" customHeight="1">
      <c r="A100" s="3070" t="s">
        <v>2284</v>
      </c>
      <c r="B100" s="3071"/>
      <c r="C100" s="3071"/>
      <c r="D100" s="3102"/>
      <c r="E100" s="3071" t="s">
        <v>2285</v>
      </c>
      <c r="F100" s="3071"/>
      <c r="G100" s="3071"/>
      <c r="H100" s="3102"/>
      <c r="I100" s="138"/>
    </row>
    <row r="101" spans="1:35" ht="18.75" customHeight="1">
      <c r="A101" s="3110" t="s">
        <v>2286</v>
      </c>
      <c r="B101" s="3111"/>
      <c r="C101" s="735" t="str">
        <f>C4</f>
        <v>比较法-住宅</v>
      </c>
      <c r="D101" s="736" t="str">
        <f>D4</f>
        <v>收益法</v>
      </c>
      <c r="E101" s="3082" t="s">
        <v>2287</v>
      </c>
      <c r="F101" s="3083"/>
      <c r="G101" s="2516" t="s">
        <v>2288</v>
      </c>
      <c r="H101" s="1047">
        <f ca="1">H118</f>
        <v>992</v>
      </c>
      <c r="I101" s="138"/>
    </row>
    <row r="102" spans="1:35" ht="18.75" customHeight="1">
      <c r="A102" s="3112" t="s">
        <v>2289</v>
      </c>
      <c r="B102" s="2516" t="s">
        <v>2288</v>
      </c>
      <c r="C102" s="735">
        <f ca="1">C19</f>
        <v>1013</v>
      </c>
      <c r="D102" s="736">
        <f ca="1">D19</f>
        <v>970</v>
      </c>
      <c r="E102" s="3082"/>
      <c r="F102" s="3083"/>
      <c r="G102" s="2516" t="s">
        <v>2290</v>
      </c>
      <c r="H102" s="371">
        <f ca="1">I118</f>
        <v>17032</v>
      </c>
      <c r="I102" s="138"/>
    </row>
    <row r="103" spans="1:35" ht="42.75" customHeight="1">
      <c r="A103" s="3112"/>
      <c r="B103" s="2516" t="s">
        <v>2290</v>
      </c>
      <c r="C103" s="737">
        <f ca="1">C20</f>
        <v>17396</v>
      </c>
      <c r="D103" s="738">
        <f ca="1">D20</f>
        <v>16654</v>
      </c>
      <c r="E103" s="3076" t="s">
        <v>2291</v>
      </c>
      <c r="F103" s="3077"/>
      <c r="G103" s="2517" t="s">
        <v>2292</v>
      </c>
      <c r="H103" s="1047">
        <f>IF(D36="正常操作",H104+H105+H106,H105+H106)</f>
        <v>0</v>
      </c>
      <c r="I103" s="138"/>
    </row>
    <row r="104" spans="1:35" ht="18.75" customHeight="1">
      <c r="A104" s="3112" t="s">
        <v>2293</v>
      </c>
      <c r="B104" s="2518" t="s">
        <v>2288</v>
      </c>
      <c r="C104" s="739">
        <f ca="1">H118</f>
        <v>992</v>
      </c>
      <c r="D104" s="740"/>
      <c r="E104" s="2265" t="s">
        <v>2294</v>
      </c>
      <c r="F104" s="2256"/>
      <c r="G104" s="2517" t="s">
        <v>2292</v>
      </c>
      <c r="H104" s="1048">
        <f>IF(D36="同一抵押权人同一抵押物续贷",C36&amp;"（未扣减，详见特别提示）",C36)</f>
        <v>0</v>
      </c>
      <c r="I104" s="138"/>
    </row>
    <row r="105" spans="1:35" ht="18.75" customHeight="1" thickBot="1">
      <c r="A105" s="3124"/>
      <c r="B105" s="2519" t="s">
        <v>2290</v>
      </c>
      <c r="C105" s="741">
        <f ca="1">I118</f>
        <v>17032</v>
      </c>
      <c r="D105" s="742"/>
      <c r="E105" s="2265" t="s">
        <v>2295</v>
      </c>
      <c r="F105" s="2256"/>
      <c r="G105" s="2517" t="s">
        <v>2292</v>
      </c>
      <c r="H105" s="1048">
        <f>C37</f>
        <v>0</v>
      </c>
      <c r="I105" s="138"/>
    </row>
    <row r="106" spans="1:35" ht="18.75" customHeight="1">
      <c r="A106" s="2414" t="s">
        <v>2296</v>
      </c>
      <c r="B106" s="2414"/>
      <c r="C106" s="2414"/>
      <c r="D106" s="2414"/>
      <c r="E106" s="2520" t="s">
        <v>2297</v>
      </c>
      <c r="F106" s="2256"/>
      <c r="G106" s="2517" t="s">
        <v>2292</v>
      </c>
      <c r="H106" s="1048">
        <f>C38</f>
        <v>0</v>
      </c>
      <c r="I106" s="138"/>
    </row>
    <row r="107" spans="1:35" ht="18.75" customHeight="1">
      <c r="A107" s="138"/>
      <c r="B107" s="138"/>
      <c r="C107" s="138"/>
      <c r="D107" s="138"/>
      <c r="E107" s="3113" t="str">
        <f>IF(项目基本情况!E8="已注销","——","3.房地产抵押价值")</f>
        <v>3.房地产抵押价值</v>
      </c>
      <c r="F107" s="3083"/>
      <c r="G107" s="2516" t="s">
        <v>2288</v>
      </c>
      <c r="H107" s="1047">
        <f ca="1">IF(E107="——","——",H101-H103)</f>
        <v>992</v>
      </c>
      <c r="I107" s="138"/>
    </row>
    <row r="108" spans="1:35" ht="18.75" customHeight="1">
      <c r="A108" s="138"/>
      <c r="B108" s="138"/>
      <c r="C108" s="138"/>
      <c r="D108" s="138"/>
      <c r="E108" s="3113"/>
      <c r="F108" s="3083"/>
      <c r="G108" s="2516" t="s">
        <v>2290</v>
      </c>
      <c r="H108" s="371">
        <f ca="1">ROUND(H107*10000/'数据-汇总表'!E3,0)</f>
        <v>17032</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6" t="s">
        <v>2288</v>
      </c>
      <c r="H109" s="348" t="str">
        <f>IF(E109="——","——",H101-H105-H106)</f>
        <v>——</v>
      </c>
      <c r="I109" s="138"/>
    </row>
    <row r="110" spans="1:35" ht="18.75" customHeight="1">
      <c r="A110" s="138"/>
      <c r="B110" s="138"/>
      <c r="C110" s="138"/>
      <c r="D110" s="138"/>
      <c r="E110" s="3113"/>
      <c r="F110" s="3083"/>
      <c r="G110" s="2516" t="s">
        <v>2290</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6" t="s">
        <v>2288</v>
      </c>
      <c r="H111" s="1047" t="str">
        <f>IF(E111="——","——",N59)</f>
        <v>——</v>
      </c>
      <c r="I111" s="138"/>
    </row>
    <row r="112" spans="1:35" ht="18.75" customHeight="1" thickBot="1">
      <c r="A112" s="138"/>
      <c r="B112" s="138"/>
      <c r="C112" s="138"/>
      <c r="D112" s="138"/>
      <c r="E112" s="3116"/>
      <c r="F112" s="3117"/>
      <c r="G112" s="2521" t="s">
        <v>2290</v>
      </c>
      <c r="H112" s="789" t="str">
        <f>IF(E111="——","——",N61)</f>
        <v>——</v>
      </c>
      <c r="I112" s="138"/>
    </row>
    <row r="113" spans="1:11" ht="18.75" customHeight="1">
      <c r="A113" s="138"/>
      <c r="B113" s="138"/>
      <c r="C113" s="138"/>
      <c r="D113" s="138"/>
      <c r="E113" s="3125" t="s">
        <v>2296</v>
      </c>
      <c r="F113" s="3125"/>
      <c r="G113" s="3125"/>
      <c r="H113" s="3125"/>
      <c r="I113" s="138"/>
    </row>
    <row r="114" spans="1:11" ht="3.75" customHeight="1">
      <c r="A114" s="2414"/>
      <c r="B114" s="2414"/>
      <c r="C114" s="2414"/>
      <c r="D114" s="2414"/>
      <c r="E114" s="2492"/>
      <c r="F114" s="2492"/>
      <c r="G114" s="2492"/>
      <c r="H114" s="2492"/>
      <c r="I114" s="2414"/>
    </row>
    <row r="115" spans="1:11" ht="18.75" customHeight="1">
      <c r="A115" s="3138" t="s">
        <v>2298</v>
      </c>
      <c r="B115" s="3139"/>
      <c r="C115" s="3139"/>
      <c r="D115" s="3139"/>
      <c r="E115" s="3139"/>
      <c r="F115" s="3139"/>
      <c r="G115" s="3139"/>
      <c r="H115" s="3139"/>
      <c r="I115" s="3140"/>
    </row>
    <row r="116" spans="1:11" ht="27" customHeight="1">
      <c r="A116" s="3049" t="s">
        <v>2299</v>
      </c>
      <c r="B116" s="3092" t="s">
        <v>2300</v>
      </c>
      <c r="C116" s="3092" t="s">
        <v>2301</v>
      </c>
      <c r="D116" s="3098" t="s">
        <v>2302</v>
      </c>
      <c r="E116" s="3099"/>
      <c r="F116" s="3134" t="s">
        <v>2303</v>
      </c>
      <c r="G116" s="3134"/>
      <c r="H116" s="3049" t="s">
        <v>2304</v>
      </c>
      <c r="I116" s="3049"/>
    </row>
    <row r="117" spans="1:11" ht="18.75" customHeight="1">
      <c r="A117" s="3049"/>
      <c r="B117" s="3093"/>
      <c r="C117" s="3093"/>
      <c r="D117" s="1796" t="s">
        <v>2305</v>
      </c>
      <c r="E117" s="1796" t="s">
        <v>2306</v>
      </c>
      <c r="F117" s="1796" t="s">
        <v>2305</v>
      </c>
      <c r="G117" s="1796" t="s">
        <v>2307</v>
      </c>
      <c r="H117" s="1796" t="s">
        <v>2305</v>
      </c>
      <c r="I117" s="1796" t="s">
        <v>2307</v>
      </c>
    </row>
    <row r="118" spans="1:11" ht="24.75" customHeight="1">
      <c r="A118" s="2522" t="str">
        <f>项目基本情况!S2</f>
        <v>广东省广州市从化区温泉镇明月山溪大道明月里二街1号房地产</v>
      </c>
      <c r="B118" s="1796">
        <f>M18</f>
        <v>582.44000000000005</v>
      </c>
      <c r="C118" s="1796">
        <f>M19</f>
        <v>577.58000000000004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992</v>
      </c>
      <c r="I118" s="1796">
        <f ca="1">ROUND(IF(D32="楼面单价",C32,H118*10000/B118),0)</f>
        <v>17032</v>
      </c>
    </row>
    <row r="119" spans="1:11" ht="18.75" customHeight="1">
      <c r="A119" s="3049" t="s">
        <v>2308</v>
      </c>
      <c r="B119" s="3049"/>
      <c r="C119" s="3049"/>
      <c r="D119" s="3094" t="e">
        <f ca="1">NUMBERSTRING(INT(D118*10000),2)&amp;"元整"</f>
        <v>#REF!</v>
      </c>
      <c r="E119" s="3095"/>
      <c r="F119" s="3094" t="e">
        <f ca="1">NUMBERSTRING(INT(F118*10000),2)&amp;"元整"</f>
        <v>#REF!</v>
      </c>
      <c r="G119" s="3095"/>
      <c r="H119" s="3094" t="str">
        <f ca="1">NUMBERSTRING(INT(H118*10000),2)&amp;"元整"</f>
        <v>玖佰玖拾贰万元整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9" t="str">
        <f>IF(D120=0,"故，本次评估不存在"&amp;A120,"故，本次评估"&amp;A120&amp;"为人民币"&amp;D120&amp;"万元整。")</f>
        <v>故，本次评估不存在估价师知悉的法定优先受偿款</v>
      </c>
    </row>
    <row r="121" spans="1:11" ht="18.75" customHeight="1">
      <c r="A121" s="3135" t="s">
        <v>2308</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992</v>
      </c>
      <c r="E122" s="3090"/>
      <c r="F122" s="3090"/>
      <c r="G122" s="3090"/>
      <c r="H122" s="3090"/>
      <c r="I122" s="3091"/>
    </row>
    <row r="123" spans="1:11" ht="18.75" customHeight="1">
      <c r="A123" s="3049" t="s">
        <v>2308</v>
      </c>
      <c r="B123" s="3049"/>
      <c r="C123" s="3049"/>
      <c r="D123" s="3094" t="str">
        <f ca="1">NUMBERSTRING(INT(D122*10000),2)&amp;"元整"</f>
        <v>玖佰玖拾贰万元整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2308</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2308</v>
      </c>
      <c r="B127" s="3049"/>
      <c r="C127" s="3049"/>
      <c r="D127" s="3094" t="e">
        <f>NUMBERSTRING(INT(D126*10000),2)&amp;"元整"</f>
        <v>#VALUE!</v>
      </c>
      <c r="E127" s="3096"/>
      <c r="F127" s="3096"/>
      <c r="G127" s="3096"/>
      <c r="H127" s="3096"/>
      <c r="I127" s="3095"/>
    </row>
    <row r="128" spans="1:11" ht="21.75" customHeight="1">
      <c r="A128" s="3097" t="s">
        <v>2309</v>
      </c>
      <c r="B128" s="3097"/>
      <c r="C128" s="3097"/>
      <c r="D128" s="3097"/>
      <c r="E128" s="3097"/>
      <c r="F128" s="3097"/>
      <c r="G128" s="3097"/>
      <c r="H128" s="3097"/>
      <c r="I128" s="3097"/>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2312</v>
      </c>
      <c r="G135" s="2540"/>
      <c r="H135" s="2540"/>
      <c r="I135" s="2541" t="s">
        <v>2313</v>
      </c>
    </row>
    <row r="136" spans="1:35" ht="21.75" customHeight="1">
      <c r="A136" s="794"/>
      <c r="B136" s="2542"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2315</v>
      </c>
    </row>
    <row r="139" spans="1:35" ht="21.75" customHeight="1">
      <c r="A139" s="794"/>
      <c r="B139" s="2542" t="s">
        <v>2316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2315</v>
      </c>
    </row>
    <row r="142" spans="1:35" ht="21.75" customHeight="1">
      <c r="A142" s="794"/>
      <c r="B142" s="2542"/>
      <c r="C142" s="2543"/>
      <c r="D142" s="2544"/>
      <c r="E142" s="2544"/>
      <c r="F142" s="2339"/>
      <c r="G142" s="794"/>
      <c r="H142" s="794"/>
      <c r="I142" s="794"/>
    </row>
    <row r="143" spans="1:35" s="139"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8"/>
      <c r="C1" s="242"/>
      <c r="D1" s="242"/>
      <c r="E1" s="242"/>
      <c r="F1" s="242"/>
      <c r="G1" s="1381">
        <f>MATCH(B1,'数据-取费表'!A6:A16,0)+5</f>
        <v>7</v>
      </c>
    </row>
    <row r="2" spans="1:9" s="244" customFormat="1" ht="18" customHeight="1">
      <c r="A2" s="245" t="s">
        <v>2318</v>
      </c>
      <c r="B2" s="246">
        <f ca="1">IF(D2="——",C52,C52-E2)</f>
        <v>339</v>
      </c>
      <c r="C2" s="243" t="s">
        <v>2319</v>
      </c>
      <c r="D2" s="2545" t="s">
        <v>70</v>
      </c>
      <c r="E2" s="1442"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5820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48"/>
    </row>
    <row r="9" spans="1:9" s="258" customFormat="1" ht="13.5" customHeight="1">
      <c r="A9" s="952" t="s">
        <v>800</v>
      </c>
      <c r="B9" s="268" t="s">
        <v>2334</v>
      </c>
      <c r="C9" s="269">
        <f ca="1">ROUND(D9*E9/10000,0)</f>
        <v>0</v>
      </c>
      <c r="D9" s="1034">
        <f ca="1">IF(B1="",'数据-汇总表'!E5,IF(INDIRECT("'数据-取费表'!c"&amp;$G$1)="住宅",INDIRECT("'数据-取费表'!k"&amp;$G$1),0))</f>
        <v>582.44000000000005</v>
      </c>
      <c r="E9" s="269">
        <f>'数据-取费表'!B27</f>
        <v>0</v>
      </c>
      <c r="F9" s="265"/>
      <c r="G9" s="2549"/>
      <c r="H9" s="1392"/>
      <c r="I9" s="2550"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12</v>
      </c>
      <c r="D19" s="1038">
        <f ca="1">D9+D10</f>
        <v>582.44000000000005</v>
      </c>
      <c r="E19" s="255">
        <f>'数据-取费表'!B31</f>
        <v>200</v>
      </c>
      <c r="F19" s="275"/>
      <c r="G19" s="2548"/>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6">
        <f ca="1">ROUND(SUM(C23:C25),0)</f>
        <v>1</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1</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2</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ROUND((C5+C19+C20)*F27*'数据-取费表'!B21/'数据-取费表'!B20,0)</f>
        <v>2</v>
      </c>
      <c r="D28" s="279"/>
      <c r="E28" s="280"/>
      <c r="F28" s="290"/>
      <c r="G28" s="291"/>
    </row>
    <row r="29" spans="1:7" s="258" customFormat="1" ht="13.5" customHeight="1">
      <c r="A29" s="953" t="s">
        <v>792</v>
      </c>
      <c r="B29" s="292" t="s">
        <v>2373</v>
      </c>
      <c r="C29" s="282">
        <f ca="1">ROUND(C21*F27*'数据-取费表'!B21/'数据-取费表'!B20,4)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233</v>
      </c>
      <c r="D34" s="261"/>
      <c r="E34" s="264"/>
      <c r="F34" s="301">
        <f ca="1">IF('数据-取费表'!B24=0,1,IF(B1="",'数据-取费表'!N16,INDIRECT("'数据-取费表'!n"&amp;$G$1)))</f>
        <v>1</v>
      </c>
      <c r="G34" s="263" t="s">
        <v>2382</v>
      </c>
    </row>
    <row r="35" spans="1:7" ht="13.5" customHeight="1">
      <c r="A35" s="953" t="s">
        <v>796</v>
      </c>
      <c r="B35" s="259" t="s">
        <v>2383</v>
      </c>
      <c r="C35" s="264">
        <f ca="1">ROUND(C34*F35,0)</f>
        <v>12</v>
      </c>
      <c r="D35" s="264"/>
      <c r="E35" s="264"/>
      <c r="F35" s="303">
        <f>'数据-取费表'!B33</f>
        <v>0.05</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12</v>
      </c>
      <c r="D37" s="261">
        <f ca="1">D19</f>
        <v>582.44000000000005</v>
      </c>
      <c r="E37" s="293">
        <f>'数据-取费表'!B35</f>
        <v>200</v>
      </c>
      <c r="F37" s="303"/>
      <c r="G37" s="305" t="s">
        <v>2388</v>
      </c>
    </row>
    <row r="38" spans="1:7" ht="13.5" customHeight="1">
      <c r="A38" s="953" t="s">
        <v>799</v>
      </c>
      <c r="B38" s="259" t="s">
        <v>2389</v>
      </c>
      <c r="C38" s="264">
        <f ca="1">ROUND(C34*F38,0)</f>
        <v>3</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6</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ROUND(IF('数据-取费表'!B22&lt;=1,C33*F22*'数据-取费表'!B21/2,C33*(POWER((1+F22),'数据-取费表'!B21/2)-1)),0)</f>
        <v>6</v>
      </c>
      <c r="D42" s="282"/>
      <c r="E42" s="282"/>
      <c r="F42" s="283"/>
      <c r="G42" s="3169" t="s">
        <v>2400</v>
      </c>
    </row>
    <row r="43" spans="1:7" ht="13.5" customHeight="1">
      <c r="A43" s="953" t="s">
        <v>792</v>
      </c>
      <c r="B43" s="259" t="s">
        <v>2401</v>
      </c>
      <c r="C43" s="282">
        <f ca="1">ROUND(IF('数据-取费表'!B22&lt;=1,C39*F22*'数据-取费表'!B21/2,C39*(POWER((1+F22),'数据-取费表'!B21/2)-1)),0)</f>
        <v>0</v>
      </c>
      <c r="D43" s="282"/>
      <c r="E43" s="282"/>
      <c r="F43" s="283"/>
      <c r="G43" s="3170"/>
    </row>
    <row r="44" spans="1:7" ht="13.5" customHeight="1">
      <c r="A44" s="953" t="s">
        <v>793</v>
      </c>
      <c r="B44" s="259" t="s">
        <v>2402</v>
      </c>
      <c r="C44" s="282">
        <f ca="1">ROUND(IF('数据-取费表'!B22&lt;=1,C40*F22*'数据-取费表'!B21/2,C40*(POWER((1+F22),'数据-取费表'!B21/2)-1)),4)</f>
        <v>4.0000000000000002E-4</v>
      </c>
      <c r="D44" s="282"/>
      <c r="E44" s="282"/>
      <c r="F44" s="283"/>
      <c r="G44" s="3171"/>
    </row>
    <row r="45" spans="1:7" s="258" customFormat="1" ht="13.5" customHeight="1">
      <c r="A45" s="299" t="s">
        <v>2403</v>
      </c>
      <c r="B45" s="288" t="s">
        <v>2369</v>
      </c>
      <c r="C45" s="289">
        <f ca="1">C46</f>
        <v>53</v>
      </c>
      <c r="D45" s="279">
        <f ca="1">C47</f>
        <v>4.0000000000000001E-3</v>
      </c>
      <c r="E45" s="280" t="s">
        <v>2395</v>
      </c>
      <c r="F45" s="290"/>
      <c r="G45" s="291" t="s">
        <v>2404</v>
      </c>
    </row>
    <row r="46" spans="1:7" s="258" customFormat="1" ht="13.5" customHeight="1">
      <c r="A46" s="953" t="s">
        <v>791</v>
      </c>
      <c r="B46" s="292" t="s">
        <v>2405</v>
      </c>
      <c r="C46" s="293">
        <f ca="1">ROUND((C33+C39)*F27,0)</f>
        <v>53</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351</v>
      </c>
      <c r="D49" s="276"/>
      <c r="E49" s="276"/>
      <c r="F49" s="308"/>
      <c r="G49" s="278" t="s">
        <v>2410</v>
      </c>
    </row>
    <row r="50" spans="1:7" s="302" customFormat="1" ht="24">
      <c r="A50" s="299" t="s">
        <v>2411</v>
      </c>
      <c r="B50" s="254" t="s">
        <v>2412</v>
      </c>
      <c r="C50" s="276"/>
      <c r="D50" s="276"/>
      <c r="E50" s="276"/>
      <c r="F50" s="308">
        <f>IF('数据-取费表'!B24=0,'数据-取费表'!N16,1)</f>
        <v>0.92</v>
      </c>
      <c r="G50" s="291" t="s">
        <v>2413</v>
      </c>
    </row>
    <row r="51" spans="1:7" ht="16.5" customHeight="1">
      <c r="A51" s="299" t="s">
        <v>2414</v>
      </c>
      <c r="B51" s="254" t="s">
        <v>2415</v>
      </c>
      <c r="C51" s="276">
        <f ca="1">ROUND(C49*F50,0)</f>
        <v>323</v>
      </c>
      <c r="D51" s="276"/>
      <c r="E51" s="276"/>
      <c r="F51" s="308"/>
      <c r="G51" s="278" t="s">
        <v>2416</v>
      </c>
    </row>
    <row r="52" spans="1:7" s="252" customFormat="1" ht="16.5" thickBot="1">
      <c r="A52" s="309" t="s">
        <v>2417</v>
      </c>
      <c r="B52" s="310"/>
      <c r="C52" s="311">
        <f ca="1">C31+C51</f>
        <v>339</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广东省广州市从化区温泉镇明月山溪大道明月里二街1号房地产抵押价值预评估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3" t="str">
        <f>项目基本情况!B5</f>
        <v>广州市方圆房地产发展有限公司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吴薇（注册号：1419970001)、郑燚（注册号：1120070131)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8"/>
      <c r="C1" s="2551"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339</v>
      </c>
      <c r="C2" s="243" t="s">
        <v>2319</v>
      </c>
      <c r="D2" s="2545" t="s">
        <v>70</v>
      </c>
      <c r="E2" s="1442"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5820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48"/>
    </row>
    <row r="9" spans="1:8" s="258" customFormat="1" ht="13.5" customHeight="1">
      <c r="A9" s="952" t="s">
        <v>800</v>
      </c>
      <c r="B9" s="268" t="s">
        <v>2334</v>
      </c>
      <c r="C9" s="269">
        <f ca="1">ROUND(D9*E9,0)</f>
        <v>0</v>
      </c>
      <c r="D9" s="1034">
        <f ca="1">IF(B1="",'数据-汇总表'!E5,IF(INDIRECT("'数据-取费表'!c"&amp;$G$1)="住宅",INDIRECT("'数据-取费表'!k"&amp;$G$1),0))</f>
        <v>582.44000000000005</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116488</v>
      </c>
      <c r="D19" s="1038">
        <f ca="1">D9+D10</f>
        <v>582.44000000000005</v>
      </c>
      <c r="E19" s="255">
        <f>'数据-取费表'!B31</f>
        <v>200</v>
      </c>
      <c r="F19" s="275"/>
      <c r="G19" s="2548"/>
    </row>
    <row r="20" spans="1:7" s="258" customFormat="1" ht="13.5" customHeight="1">
      <c r="A20" s="299" t="s">
        <v>2430</v>
      </c>
      <c r="B20" s="254" t="s">
        <v>2431</v>
      </c>
      <c r="C20" s="276">
        <f ca="1">ROUND((C5+C19)*F20,0)</f>
        <v>2330</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2">
        <f ca="1">ROUND(SUM(C23:C25),0)</f>
        <v>5118</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5067</v>
      </c>
      <c r="D24" s="282"/>
      <c r="E24" s="282"/>
      <c r="F24" s="283"/>
      <c r="G24" s="284" t="s">
        <v>2442</v>
      </c>
    </row>
    <row r="25" spans="1:7" s="258" customFormat="1" ht="24">
      <c r="A25" s="953" t="s">
        <v>2332</v>
      </c>
      <c r="B25" s="259" t="s">
        <v>2443</v>
      </c>
      <c r="C25" s="1383">
        <f ca="1">ROUND(IF('数据-取费表'!B22&lt;=1,C20*F22*'数据-取费表'!B22/2,C20*(POWER((1+F22),'数据-取费表'!B22/2)-1)),0)</f>
        <v>51</v>
      </c>
      <c r="D25" s="282"/>
      <c r="E25" s="285"/>
      <c r="F25" s="283"/>
      <c r="G25" s="286" t="s">
        <v>2444</v>
      </c>
    </row>
    <row r="26" spans="1:7" s="258" customFormat="1">
      <c r="A26" s="953"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23764</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ROUND((C5+C19+C20)*F27,0)</f>
        <v>23764</v>
      </c>
      <c r="D28" s="279"/>
      <c r="E28" s="280"/>
      <c r="F28" s="290"/>
      <c r="G28" s="291"/>
    </row>
    <row r="29" spans="1:7" s="258" customFormat="1" ht="13.5" customHeight="1">
      <c r="A29" s="953" t="s">
        <v>792</v>
      </c>
      <c r="B29" s="292" t="s">
        <v>2373</v>
      </c>
      <c r="C29" s="282">
        <f ca="1">ROUND(C21*F27,4)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160143</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2597682</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2329760</v>
      </c>
      <c r="D34" s="261"/>
      <c r="E34" s="264"/>
      <c r="F34" s="301"/>
      <c r="G34" s="263"/>
    </row>
    <row r="35" spans="1:7" ht="13.5" customHeight="1">
      <c r="A35" s="953" t="s">
        <v>796</v>
      </c>
      <c r="B35" s="259" t="s">
        <v>2383</v>
      </c>
      <c r="C35" s="264">
        <f ca="1">ROUND(C34*F35,0)</f>
        <v>116488</v>
      </c>
      <c r="D35" s="264"/>
      <c r="E35" s="264"/>
      <c r="F35" s="303">
        <f>'数据-取费表'!B33</f>
        <v>0.05</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116488</v>
      </c>
      <c r="D37" s="261">
        <f ca="1">D19</f>
        <v>582.44000000000005</v>
      </c>
      <c r="E37" s="293">
        <f>'数据-取费表'!B35</f>
        <v>200</v>
      </c>
      <c r="F37" s="303"/>
      <c r="G37" s="305"/>
    </row>
    <row r="38" spans="1:7" ht="13.5" customHeight="1">
      <c r="A38" s="953" t="s">
        <v>799</v>
      </c>
      <c r="B38" s="259" t="s">
        <v>2389</v>
      </c>
      <c r="C38" s="264">
        <f ca="1">ROUND(C34*F38,0)</f>
        <v>34946</v>
      </c>
      <c r="D38" s="264"/>
      <c r="E38" s="264"/>
      <c r="F38" s="303">
        <f>'数据-取费表'!B36</f>
        <v>1.4999999999999999E-2</v>
      </c>
      <c r="G38" s="263" t="s">
        <v>2384</v>
      </c>
    </row>
    <row r="39" spans="1:7" s="258" customFormat="1" ht="13.5" customHeight="1">
      <c r="A39" s="299" t="s">
        <v>2390</v>
      </c>
      <c r="B39" s="254" t="s">
        <v>2391</v>
      </c>
      <c r="C39" s="276">
        <f ca="1">ROUND(C33*F20,0)</f>
        <v>51954</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57630</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ROUND(IF('数据-取费表'!B22&lt;=1,C33*F22*'数据-取费表'!B20/2,C33*(POWER((1+F22),'数据-取费表'!B20/2)-1)),0)</f>
        <v>56500</v>
      </c>
      <c r="D42" s="282"/>
      <c r="E42" s="282"/>
      <c r="F42" s="283"/>
      <c r="G42" s="3169" t="s">
        <v>2447</v>
      </c>
    </row>
    <row r="43" spans="1:7" ht="13.5" customHeight="1">
      <c r="A43" s="953" t="s">
        <v>792</v>
      </c>
      <c r="B43" s="259" t="s">
        <v>2401</v>
      </c>
      <c r="C43" s="282">
        <f ca="1">ROUND(IF('数据-取费表'!B22&lt;=1,C39*F22*'数据-取费表'!B20/2,C39*(POWER((1+F22),'数据-取费表'!B20/2)-1)),0)</f>
        <v>1130</v>
      </c>
      <c r="D43" s="282"/>
      <c r="E43" s="282"/>
      <c r="F43" s="283"/>
      <c r="G43" s="3170"/>
    </row>
    <row r="44" spans="1:7" ht="13.5" customHeight="1">
      <c r="A44" s="953" t="s">
        <v>793</v>
      </c>
      <c r="B44" s="259" t="s">
        <v>2402</v>
      </c>
      <c r="C44" s="282">
        <f ca="1">ROUND(IF('数据-取费表'!B22&lt;=1,C40*F22*'数据-取费表'!B20/2,C40*(POWER((1+F22),'数据-取费表'!B20/2)-1)),4)</f>
        <v>4.0000000000000002E-4</v>
      </c>
      <c r="D44" s="282"/>
      <c r="E44" s="282"/>
      <c r="F44" s="283"/>
      <c r="G44" s="3171"/>
    </row>
    <row r="45" spans="1:7" s="258" customFormat="1" ht="13.5" customHeight="1">
      <c r="A45" s="299" t="s">
        <v>2403</v>
      </c>
      <c r="B45" s="288" t="s">
        <v>2369</v>
      </c>
      <c r="C45" s="289">
        <f ca="1">C46</f>
        <v>529927</v>
      </c>
      <c r="D45" s="279">
        <f ca="1">C47</f>
        <v>4.0000000000000001E-3</v>
      </c>
      <c r="E45" s="280" t="s">
        <v>2395</v>
      </c>
      <c r="F45" s="290"/>
      <c r="G45" s="291" t="s">
        <v>2404</v>
      </c>
    </row>
    <row r="46" spans="1:7" s="258" customFormat="1" ht="13.5" customHeight="1">
      <c r="A46" s="953" t="s">
        <v>791</v>
      </c>
      <c r="B46" s="292" t="s">
        <v>2405</v>
      </c>
      <c r="C46" s="293">
        <f ca="1">ROUND((C33+C39)*F27,0)</f>
        <v>529927</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3509913</v>
      </c>
      <c r="D49" s="276"/>
      <c r="E49" s="276"/>
      <c r="F49" s="308"/>
      <c r="G49" s="278" t="s">
        <v>2410</v>
      </c>
    </row>
    <row r="50" spans="1:7" s="302" customFormat="1">
      <c r="A50" s="299" t="s">
        <v>2411</v>
      </c>
      <c r="B50" s="254" t="s">
        <v>2412</v>
      </c>
      <c r="C50" s="276"/>
      <c r="D50" s="276"/>
      <c r="E50" s="276"/>
      <c r="F50" s="308">
        <f>IF('数据-取费表'!B24=0,'数据-取费表'!N16,1)</f>
        <v>0.92</v>
      </c>
      <c r="G50" s="291"/>
    </row>
    <row r="51" spans="1:7" ht="16.5" customHeight="1">
      <c r="A51" s="299" t="s">
        <v>2414</v>
      </c>
      <c r="B51" s="254" t="s">
        <v>2449</v>
      </c>
      <c r="C51" s="276">
        <f ca="1">ROUND(C49*F50,0)</f>
        <v>3229120</v>
      </c>
      <c r="D51" s="276"/>
      <c r="E51" s="276"/>
      <c r="F51" s="308"/>
      <c r="G51" s="278" t="s">
        <v>2416</v>
      </c>
    </row>
    <row r="52" spans="1:7" s="252" customFormat="1" ht="16.5" thickBot="1">
      <c r="A52" s="309" t="s">
        <v>2417</v>
      </c>
      <c r="B52" s="310"/>
      <c r="C52" s="311">
        <f ca="1">C31+C51</f>
        <v>3389263</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2" t="s">
        <v>2456</v>
      </c>
      <c r="D5" s="2552" t="s">
        <v>2457</v>
      </c>
      <c r="E5" s="2552" t="s">
        <v>2458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0.05</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582.44000000000005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582.44000000000005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4"/>
      <c r="H18" s="1579"/>
      <c r="I18" s="2555"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582.44000000000005</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0.02</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81"/>
      <c r="I27" s="981"/>
      <c r="J27" s="981"/>
      <c r="K27" s="982"/>
    </row>
    <row r="28" spans="1:33" s="333" customFormat="1" ht="13.5" customHeight="1">
      <c r="A28" s="963" t="s">
        <v>2500</v>
      </c>
      <c r="B28" s="2557" t="s">
        <v>2501</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58"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9" sqref="G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0" t="s">
        <v>2633</v>
      </c>
      <c r="C1" s="1636" t="s">
        <v>2521</v>
      </c>
      <c r="D1" s="1623" t="s">
        <v>3123</v>
      </c>
      <c r="E1" s="2654"/>
      <c r="F1" s="2582" t="s">
        <v>3074</v>
      </c>
      <c r="G1" s="1633" t="s">
        <v>2634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2318</v>
      </c>
      <c r="B2" s="1420">
        <f>IF(C2="——",ROUND(C49*D3/10000,0),ROUND(C49*D3/10000,0)-D2)</f>
        <v>0</v>
      </c>
      <c r="C2" s="2584" t="s">
        <v>70</v>
      </c>
      <c r="D2" s="1367" t="e">
        <f ca="1">SUMIF(INDIRECT("'"&amp;F2&amp;"'"&amp;"!A:A"),"承租人权益价值",INDIRECT("'"&amp;F2&amp;"'"&amp;"!c:c"))</f>
        <v>#REF!</v>
      </c>
      <c r="E2" s="2585" t="s">
        <v>2319</v>
      </c>
      <c r="F2" s="2586"/>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2320</v>
      </c>
      <c r="B3" s="609">
        <f>IF(C2="——",C49,ROUND(B2*10000/D3,0))</f>
        <v>26098</v>
      </c>
      <c r="C3" s="400" t="s">
        <v>2635</v>
      </c>
      <c r="D3" s="399">
        <f>IF(D1="",'数据-汇总表'!E3,SUMIF('数据-汇总表'!$C19:$C33,D1,'数据-汇总表'!$E19:$E33))</f>
        <v>0</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5" t="s">
        <v>2639</v>
      </c>
      <c r="AC4" s="3172" t="s">
        <v>2640</v>
      </c>
    </row>
    <row r="5" spans="1:29" ht="15">
      <c r="A5" s="404"/>
      <c r="B5" s="405"/>
      <c r="C5" s="3184" t="s">
        <v>3082</v>
      </c>
      <c r="D5" s="3185"/>
      <c r="E5" s="3182" t="s">
        <v>3075</v>
      </c>
      <c r="F5" s="3183"/>
      <c r="G5" s="3184" t="s">
        <v>3075</v>
      </c>
      <c r="H5" s="3185"/>
      <c r="I5" s="3184" t="s">
        <v>3076</v>
      </c>
      <c r="J5" s="3185"/>
      <c r="K5" s="610"/>
      <c r="L5" s="1132"/>
      <c r="M5" s="1133"/>
      <c r="N5" s="1133"/>
      <c r="O5" s="1133"/>
      <c r="P5" s="3197"/>
      <c r="Q5" s="3198"/>
      <c r="R5" s="3180"/>
      <c r="S5" s="3181"/>
      <c r="T5" s="3180"/>
      <c r="U5" s="3181"/>
      <c r="V5" s="3175"/>
      <c r="W5" s="3175"/>
      <c r="X5" s="1814"/>
      <c r="Y5" s="3180"/>
      <c r="Z5" s="3181"/>
      <c r="AA5" s="3173"/>
      <c r="AB5" s="3175"/>
      <c r="AC5" s="3173"/>
    </row>
    <row r="6" spans="1:29" ht="15.75" thickBot="1">
      <c r="A6" s="406"/>
      <c r="B6" s="407"/>
      <c r="C6" s="3186" t="s">
        <v>2788</v>
      </c>
      <c r="D6" s="3187"/>
      <c r="E6" s="3188" t="s">
        <v>2788</v>
      </c>
      <c r="F6" s="3189"/>
      <c r="G6" s="3186" t="s">
        <v>2788</v>
      </c>
      <c r="H6" s="3187"/>
      <c r="I6" s="3186" t="s">
        <v>3081</v>
      </c>
      <c r="J6" s="3187"/>
      <c r="K6" s="610" t="s">
        <v>2538</v>
      </c>
      <c r="L6" s="1132"/>
      <c r="M6" s="1133"/>
      <c r="N6" s="1133"/>
      <c r="O6" s="1133"/>
      <c r="P6" s="3199"/>
      <c r="Q6" s="3200"/>
      <c r="R6" s="3180"/>
      <c r="S6" s="3181"/>
      <c r="T6" s="3201"/>
      <c r="U6" s="3202"/>
      <c r="V6" s="3175"/>
      <c r="W6" s="3175"/>
      <c r="X6" s="1814"/>
      <c r="Y6" s="3201"/>
      <c r="Z6" s="3202"/>
      <c r="AA6" s="3174"/>
      <c r="AB6" s="3175"/>
      <c r="AC6" s="3174"/>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176" t="s">
        <v>2540</v>
      </c>
      <c r="Q7" s="3203"/>
      <c r="R7" s="769" t="s">
        <v>17</v>
      </c>
      <c r="S7" s="770">
        <f t="shared" ref="S7:S15" si="0">F7</f>
        <v>100</v>
      </c>
      <c r="T7" s="769" t="s">
        <v>17</v>
      </c>
      <c r="U7" s="770">
        <f t="shared" ref="U7:U15" si="1">H7</f>
        <v>100</v>
      </c>
      <c r="V7" s="769" t="s">
        <v>17</v>
      </c>
      <c r="W7" s="770">
        <f t="shared" ref="W7:W15" si="2">J7</f>
        <v>100</v>
      </c>
      <c r="X7" s="771"/>
      <c r="Y7" s="3176" t="s">
        <v>2540</v>
      </c>
      <c r="Z7" s="3177"/>
      <c r="AA7" s="772">
        <f>D7/F7</f>
        <v>1</v>
      </c>
      <c r="AB7" s="772">
        <f>D7/H7</f>
        <v>1</v>
      </c>
      <c r="AC7" s="772">
        <f>D7/J7</f>
        <v>1</v>
      </c>
    </row>
    <row r="8" spans="1:29" s="117" customFormat="1" ht="15.75" thickBot="1">
      <c r="A8" s="408" t="s">
        <v>2541</v>
      </c>
      <c r="B8" s="409"/>
      <c r="C8" s="414" t="s">
        <v>2643</v>
      </c>
      <c r="D8" s="411">
        <v>100</v>
      </c>
      <c r="E8" s="414" t="s">
        <v>3077</v>
      </c>
      <c r="F8" s="413">
        <f>SUMIF(61:61,E8,62:62)-SUMIF(61:61,C8,62:62)+100</f>
        <v>100</v>
      </c>
      <c r="G8" s="414" t="s">
        <v>3077</v>
      </c>
      <c r="H8" s="411">
        <f>SUMIF(61:61,G8,62:62)-SUMIF(61:61,C8,62:62)+100</f>
        <v>100</v>
      </c>
      <c r="I8" s="414" t="s">
        <v>3077</v>
      </c>
      <c r="J8" s="411">
        <f>SUMIF(61:61,I8,62:62)-SUMIF(61:61,C8,62:62)+100</f>
        <v>100</v>
      </c>
      <c r="K8" s="611"/>
      <c r="L8" s="1134"/>
      <c r="M8" s="1135"/>
      <c r="N8" s="1135"/>
      <c r="O8" s="1135"/>
      <c r="P8" s="3176" t="s">
        <v>2543</v>
      </c>
      <c r="Q8" s="3177"/>
      <c r="R8" s="769" t="s">
        <v>17</v>
      </c>
      <c r="S8" s="770">
        <f t="shared" si="0"/>
        <v>100</v>
      </c>
      <c r="T8" s="769" t="s">
        <v>17</v>
      </c>
      <c r="U8" s="770">
        <f t="shared" si="1"/>
        <v>100</v>
      </c>
      <c r="V8" s="769" t="s">
        <v>17</v>
      </c>
      <c r="W8" s="770">
        <f t="shared" si="2"/>
        <v>100</v>
      </c>
      <c r="X8" s="771"/>
      <c r="Y8" s="3176" t="s">
        <v>2543</v>
      </c>
      <c r="Z8" s="3177"/>
      <c r="AA8" s="772">
        <f t="shared" ref="AA8:AA46" si="3">D8/F8</f>
        <v>1</v>
      </c>
      <c r="AB8" s="772">
        <f t="shared" ref="AB8:AB46" si="4">D8/H8</f>
        <v>1</v>
      </c>
      <c r="AC8" s="772">
        <f t="shared" ref="AC8:AC46" si="5">D8/J8</f>
        <v>1</v>
      </c>
    </row>
    <row r="9" spans="1:29" s="117" customFormat="1">
      <c r="A9" s="415" t="s">
        <v>2544</v>
      </c>
      <c r="B9" s="71" t="s">
        <v>2545</v>
      </c>
      <c r="C9" s="2953" t="s">
        <v>3078</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90"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772">
        <f t="shared" si="5"/>
        <v>1</v>
      </c>
    </row>
    <row r="10" spans="1:29" s="427" customFormat="1" ht="27.75" thickBot="1">
      <c r="A10" s="421"/>
      <c r="B10" s="422" t="s">
        <v>2548</v>
      </c>
      <c r="C10" s="423" t="s">
        <v>3079</v>
      </c>
      <c r="D10" s="136">
        <v>100</v>
      </c>
      <c r="E10" s="424" t="s">
        <v>3080</v>
      </c>
      <c r="F10" s="425">
        <f>SUMIF(65:65,E10,66:66)-SUMIF(65:65,C10,66:66)+100</f>
        <v>101</v>
      </c>
      <c r="G10" s="423" t="s">
        <v>3080</v>
      </c>
      <c r="H10" s="136">
        <f>SUMIF(65:65,G10,66:66)-SUMIF(65:65,C10,66:66)+100</f>
        <v>101</v>
      </c>
      <c r="I10" s="423" t="s">
        <v>3080</v>
      </c>
      <c r="J10" s="136">
        <f>SUMIF(65:65,I10,66:66)-SUMIF(65:65,C10,66:66)+100</f>
        <v>101</v>
      </c>
      <c r="K10" s="612">
        <v>1</v>
      </c>
      <c r="L10" s="1137"/>
      <c r="M10" s="1138"/>
      <c r="N10" s="1138"/>
      <c r="O10" s="1138"/>
      <c r="P10" s="3190"/>
      <c r="Q10" s="1796" t="str">
        <f t="shared" si="6"/>
        <v>土地使用年限（年）</v>
      </c>
      <c r="R10" s="769" t="s">
        <v>17</v>
      </c>
      <c r="S10" s="770">
        <f t="shared" si="0"/>
        <v>101</v>
      </c>
      <c r="T10" s="769" t="s">
        <v>17</v>
      </c>
      <c r="U10" s="770">
        <f t="shared" si="1"/>
        <v>101</v>
      </c>
      <c r="V10" s="769" t="s">
        <v>17</v>
      </c>
      <c r="W10" s="770">
        <f t="shared" si="2"/>
        <v>101</v>
      </c>
      <c r="X10" s="771"/>
      <c r="Y10" s="3049"/>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90"/>
      <c r="Q11" s="1796" t="str">
        <f t="shared" si="6"/>
        <v>容积率</v>
      </c>
      <c r="R11" s="769" t="s">
        <v>17</v>
      </c>
      <c r="S11" s="770">
        <f t="shared" si="0"/>
        <v>100</v>
      </c>
      <c r="T11" s="769" t="s">
        <v>17</v>
      </c>
      <c r="U11" s="770">
        <f t="shared" si="1"/>
        <v>100</v>
      </c>
      <c r="V11" s="769" t="s">
        <v>17</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hidden="1"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2550</v>
      </c>
      <c r="B15" s="69" t="s">
        <v>2644</v>
      </c>
      <c r="C15" s="2601"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204" t="s">
        <v>2551</v>
      </c>
      <c r="Q15" s="1811" t="str">
        <f t="shared" si="6"/>
        <v>商业繁华度</v>
      </c>
      <c r="R15" s="773" t="s">
        <v>17</v>
      </c>
      <c r="S15" s="774">
        <f t="shared" si="0"/>
        <v>102</v>
      </c>
      <c r="T15" s="773" t="s">
        <v>17</v>
      </c>
      <c r="U15" s="774">
        <f t="shared" si="1"/>
        <v>102</v>
      </c>
      <c r="V15" s="773" t="s">
        <v>17</v>
      </c>
      <c r="W15" s="774">
        <f t="shared" si="2"/>
        <v>102</v>
      </c>
      <c r="X15" s="1814"/>
      <c r="Y15" s="3206" t="s">
        <v>2551</v>
      </c>
      <c r="Z15" s="1815" t="str">
        <f t="shared" si="7"/>
        <v>商业繁华度</v>
      </c>
      <c r="AA15" s="1812">
        <f t="shared" si="3"/>
        <v>0.98039215686274506</v>
      </c>
      <c r="AB15" s="1812">
        <f t="shared" si="4"/>
        <v>0.98039215686274506</v>
      </c>
      <c r="AC15" s="1812">
        <f t="shared" si="5"/>
        <v>0.98039215686274506</v>
      </c>
    </row>
    <row r="16" spans="1:29" ht="15">
      <c r="A16" s="428"/>
      <c r="B16" s="446"/>
      <c r="C16" s="447" t="s">
        <v>3083</v>
      </c>
      <c r="D16" s="448"/>
      <c r="E16" s="447" t="s">
        <v>3084</v>
      </c>
      <c r="F16" s="449"/>
      <c r="G16" s="447" t="s">
        <v>3084</v>
      </c>
      <c r="H16" s="450"/>
      <c r="I16" s="447" t="s">
        <v>3084</v>
      </c>
      <c r="J16" s="448"/>
      <c r="K16" s="615"/>
      <c r="L16" s="1142"/>
      <c r="M16" s="1133"/>
      <c r="N16" s="1133"/>
      <c r="O16" s="1133"/>
      <c r="P16" s="3205"/>
      <c r="Q16" s="1811"/>
      <c r="R16" s="773"/>
      <c r="S16" s="774"/>
      <c r="T16" s="773"/>
      <c r="U16" s="774"/>
      <c r="V16" s="773"/>
      <c r="W16" s="774"/>
      <c r="X16" s="1814"/>
      <c r="Y16" s="3207"/>
      <c r="Z16" s="1815"/>
      <c r="AA16" s="1812">
        <v>1</v>
      </c>
      <c r="AB16" s="1812">
        <v>1</v>
      </c>
      <c r="AC16" s="1812">
        <v>1</v>
      </c>
    </row>
    <row r="17" spans="1:29" ht="15">
      <c r="A17" s="428"/>
      <c r="B17" s="451" t="s">
        <v>2090</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205"/>
      <c r="Q17" s="1811" t="str">
        <f>B17</f>
        <v>交通便捷度</v>
      </c>
      <c r="R17" s="773" t="s">
        <v>17</v>
      </c>
      <c r="S17" s="774">
        <f>F17</f>
        <v>100</v>
      </c>
      <c r="T17" s="773" t="s">
        <v>17</v>
      </c>
      <c r="U17" s="774">
        <f>H17</f>
        <v>100</v>
      </c>
      <c r="V17" s="773" t="s">
        <v>17</v>
      </c>
      <c r="W17" s="774">
        <f>J17</f>
        <v>100</v>
      </c>
      <c r="X17" s="1814"/>
      <c r="Y17" s="3207"/>
      <c r="Z17" s="1815" t="str">
        <f>Q17</f>
        <v>交通便捷度</v>
      </c>
      <c r="AA17" s="1812">
        <f t="shared" si="3"/>
        <v>1</v>
      </c>
      <c r="AB17" s="1812">
        <f t="shared" si="4"/>
        <v>1</v>
      </c>
      <c r="AC17" s="1812">
        <f t="shared" si="5"/>
        <v>1</v>
      </c>
    </row>
    <row r="18" spans="1:29" ht="15">
      <c r="A18" s="428"/>
      <c r="B18" s="456"/>
      <c r="C18" s="2606" t="s">
        <v>3084</v>
      </c>
      <c r="D18" s="450"/>
      <c r="E18" s="2608" t="s">
        <v>3084</v>
      </c>
      <c r="F18" s="453"/>
      <c r="G18" s="2607" t="s">
        <v>3084</v>
      </c>
      <c r="H18" s="448"/>
      <c r="I18" s="2608" t="s">
        <v>3084</v>
      </c>
      <c r="J18" s="448"/>
      <c r="K18" s="615"/>
      <c r="L18" s="1142"/>
      <c r="M18" s="1133"/>
      <c r="N18" s="1133"/>
      <c r="O18" s="1133"/>
      <c r="P18" s="3205"/>
      <c r="Q18" s="1811"/>
      <c r="R18" s="773"/>
      <c r="S18" s="774"/>
      <c r="T18" s="773"/>
      <c r="U18" s="774"/>
      <c r="V18" s="773"/>
      <c r="W18" s="774"/>
      <c r="X18" s="1814"/>
      <c r="Y18" s="3207"/>
      <c r="Z18" s="1815"/>
      <c r="AA18" s="1812">
        <v>1</v>
      </c>
      <c r="AB18" s="1812">
        <v>1</v>
      </c>
      <c r="AC18" s="1812">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05"/>
      <c r="Q19" s="1811" t="str">
        <f>B19</f>
        <v>公共配套设施</v>
      </c>
      <c r="R19" s="773" t="s">
        <v>17</v>
      </c>
      <c r="S19" s="774">
        <f>F19</f>
        <v>100</v>
      </c>
      <c r="T19" s="773" t="s">
        <v>17</v>
      </c>
      <c r="U19" s="774">
        <f>H19</f>
        <v>100</v>
      </c>
      <c r="V19" s="773" t="s">
        <v>17</v>
      </c>
      <c r="W19" s="774">
        <f>J19</f>
        <v>100</v>
      </c>
      <c r="X19" s="1814"/>
      <c r="Y19" s="3207"/>
      <c r="Z19" s="1815" t="str">
        <f>Q19</f>
        <v>公共配套设施</v>
      </c>
      <c r="AA19" s="1812">
        <f t="shared" si="3"/>
        <v>1</v>
      </c>
      <c r="AB19" s="1812">
        <f t="shared" si="4"/>
        <v>1</v>
      </c>
      <c r="AC19" s="1812">
        <f t="shared" si="5"/>
        <v>1</v>
      </c>
    </row>
    <row r="20" spans="1:29" ht="15">
      <c r="A20" s="428"/>
      <c r="B20" s="456"/>
      <c r="C20" s="447" t="s">
        <v>3084</v>
      </c>
      <c r="D20" s="448"/>
      <c r="E20" s="2603" t="s">
        <v>3084</v>
      </c>
      <c r="F20" s="449"/>
      <c r="G20" s="2602" t="s">
        <v>3084</v>
      </c>
      <c r="H20" s="448"/>
      <c r="I20" s="2603" t="s">
        <v>3084</v>
      </c>
      <c r="J20" s="448"/>
      <c r="K20" s="615"/>
      <c r="L20" s="1142"/>
      <c r="M20" s="1133"/>
      <c r="N20" s="1133"/>
      <c r="O20" s="1133"/>
      <c r="P20" s="3205"/>
      <c r="Q20" s="1811"/>
      <c r="R20" s="773"/>
      <c r="S20" s="774"/>
      <c r="T20" s="773"/>
      <c r="U20" s="774"/>
      <c r="V20" s="773"/>
      <c r="W20" s="774"/>
      <c r="X20" s="1814"/>
      <c r="Y20" s="3207"/>
      <c r="Z20" s="1815"/>
      <c r="AA20" s="1812">
        <v>1</v>
      </c>
      <c r="AB20" s="1812">
        <v>1</v>
      </c>
      <c r="AC20" s="1812">
        <v>1</v>
      </c>
    </row>
    <row r="21" spans="1:29" ht="15">
      <c r="A21" s="428"/>
      <c r="B21" s="1386" t="s">
        <v>2646</v>
      </c>
      <c r="C21" s="2605"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05"/>
      <c r="Q21" s="1811" t="str">
        <f>B21</f>
        <v>基础设施水平</v>
      </c>
      <c r="R21" s="773" t="s">
        <v>17</v>
      </c>
      <c r="S21" s="774">
        <f>F21</f>
        <v>100</v>
      </c>
      <c r="T21" s="773" t="s">
        <v>17</v>
      </c>
      <c r="U21" s="774">
        <f>H21</f>
        <v>100</v>
      </c>
      <c r="V21" s="773" t="s">
        <v>17</v>
      </c>
      <c r="W21" s="774">
        <f>J21</f>
        <v>100</v>
      </c>
      <c r="X21" s="1814"/>
      <c r="Y21" s="3207"/>
      <c r="Z21" s="1815" t="str">
        <f>Q21</f>
        <v>基础设施水平</v>
      </c>
      <c r="AA21" s="1812">
        <f t="shared" ref="AA21" si="8">D21/F21</f>
        <v>1</v>
      </c>
      <c r="AB21" s="1812">
        <f t="shared" ref="AB21" si="9">D21/H21</f>
        <v>1</v>
      </c>
      <c r="AC21" s="1812">
        <f t="shared" ref="AC21" si="10">D21/J21</f>
        <v>1</v>
      </c>
    </row>
    <row r="22" spans="1:29" ht="15">
      <c r="A22" s="428"/>
      <c r="B22" s="1386"/>
      <c r="C22" s="2606" t="s">
        <v>3085</v>
      </c>
      <c r="D22" s="448"/>
      <c r="E22" s="447" t="s">
        <v>3085</v>
      </c>
      <c r="F22" s="449"/>
      <c r="G22" s="447" t="s">
        <v>3085</v>
      </c>
      <c r="H22" s="448"/>
      <c r="I22" s="447" t="s">
        <v>3085</v>
      </c>
      <c r="J22" s="448"/>
      <c r="K22" s="1385"/>
      <c r="L22" s="1142"/>
      <c r="M22" s="1133"/>
      <c r="N22" s="1133"/>
      <c r="O22" s="1133"/>
      <c r="P22" s="3205"/>
      <c r="Q22" s="1811"/>
      <c r="R22" s="773"/>
      <c r="S22" s="774"/>
      <c r="T22" s="773"/>
      <c r="U22" s="774"/>
      <c r="V22" s="773"/>
      <c r="W22" s="774"/>
      <c r="X22" s="1814"/>
      <c r="Y22" s="3207"/>
      <c r="Z22" s="1815"/>
      <c r="AA22" s="1812">
        <v>1</v>
      </c>
      <c r="AB22" s="1812">
        <v>1</v>
      </c>
      <c r="AC22" s="1812">
        <v>1</v>
      </c>
    </row>
    <row r="23" spans="1:29" ht="15">
      <c r="A23" s="428"/>
      <c r="B23" s="451" t="s">
        <v>2093</v>
      </c>
      <c r="C23" s="2661"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205"/>
      <c r="Q23" s="1811" t="str">
        <f>B23</f>
        <v>自然及人文环境</v>
      </c>
      <c r="R23" s="773" t="s">
        <v>17</v>
      </c>
      <c r="S23" s="774">
        <f>F23</f>
        <v>100</v>
      </c>
      <c r="T23" s="773" t="s">
        <v>17</v>
      </c>
      <c r="U23" s="774">
        <f>H23</f>
        <v>100</v>
      </c>
      <c r="V23" s="773" t="s">
        <v>17</v>
      </c>
      <c r="W23" s="774">
        <f>J23</f>
        <v>100</v>
      </c>
      <c r="X23" s="1814"/>
      <c r="Y23" s="3207"/>
      <c r="Z23" s="1815" t="str">
        <f>Q23</f>
        <v>自然及人文环境</v>
      </c>
      <c r="AA23" s="1812">
        <f t="shared" si="3"/>
        <v>1</v>
      </c>
      <c r="AB23" s="1812">
        <f t="shared" si="4"/>
        <v>1</v>
      </c>
      <c r="AC23" s="1812">
        <f t="shared" si="5"/>
        <v>1</v>
      </c>
    </row>
    <row r="24" spans="1:29" ht="15">
      <c r="A24" s="428"/>
      <c r="B24" s="456"/>
      <c r="C24" s="447" t="s">
        <v>3084</v>
      </c>
      <c r="D24" s="448"/>
      <c r="E24" s="2603" t="s">
        <v>3084</v>
      </c>
      <c r="F24" s="449"/>
      <c r="G24" s="2602" t="s">
        <v>3084</v>
      </c>
      <c r="H24" s="448"/>
      <c r="I24" s="2603" t="s">
        <v>3084</v>
      </c>
      <c r="J24" s="448"/>
      <c r="K24" s="615"/>
      <c r="L24" s="1142"/>
      <c r="M24" s="1133"/>
      <c r="N24" s="1133"/>
      <c r="O24" s="1133"/>
      <c r="P24" s="3205"/>
      <c r="Q24" s="1811"/>
      <c r="R24" s="773"/>
      <c r="S24" s="774"/>
      <c r="T24" s="773"/>
      <c r="U24" s="774"/>
      <c r="V24" s="773"/>
      <c r="W24" s="774"/>
      <c r="X24" s="1814"/>
      <c r="Y24" s="3207"/>
      <c r="Z24" s="1815"/>
      <c r="AA24" s="1812">
        <v>1</v>
      </c>
      <c r="AB24" s="1812">
        <v>1</v>
      </c>
      <c r="AC24" s="1812">
        <v>1</v>
      </c>
    </row>
    <row r="25" spans="1:29" ht="15">
      <c r="A25" s="428"/>
      <c r="B25" s="422" t="s">
        <v>2647</v>
      </c>
      <c r="C25" s="616" t="s">
        <v>3072</v>
      </c>
      <c r="D25" s="435">
        <v>100</v>
      </c>
      <c r="E25" s="616" t="s">
        <v>3088</v>
      </c>
      <c r="F25" s="461">
        <f>SUMIF(86:86,E25,87:87)-SUMIF(86:86,C25,87:87)+100</f>
        <v>102</v>
      </c>
      <c r="G25" s="616" t="s">
        <v>3088</v>
      </c>
      <c r="H25" s="435">
        <f>SUMIF(86:86,G25,87:87)-SUMIF(86:86,C25,87:87)+100</f>
        <v>102</v>
      </c>
      <c r="I25" s="616" t="s">
        <v>3072</v>
      </c>
      <c r="J25" s="435">
        <f>SUMIF(86:86,I25,87:87)-SUMIF(86:86,C25,87:87)+100</f>
        <v>100</v>
      </c>
      <c r="K25" s="612">
        <v>2</v>
      </c>
      <c r="L25" s="1142"/>
      <c r="M25" s="1133"/>
      <c r="N25" s="1133"/>
      <c r="O25" s="1133"/>
      <c r="P25" s="3205"/>
      <c r="Q25" s="1811" t="str">
        <f t="shared" ref="Q25:Q46" si="11">B25</f>
        <v>临街状况</v>
      </c>
      <c r="R25" s="773" t="s">
        <v>17</v>
      </c>
      <c r="S25" s="774">
        <f>F25</f>
        <v>102</v>
      </c>
      <c r="T25" s="773" t="s">
        <v>17</v>
      </c>
      <c r="U25" s="774">
        <f>H25</f>
        <v>102</v>
      </c>
      <c r="V25" s="773" t="s">
        <v>17</v>
      </c>
      <c r="W25" s="774">
        <f>J25</f>
        <v>100</v>
      </c>
      <c r="X25" s="1814"/>
      <c r="Y25" s="3207"/>
      <c r="Z25" s="1815" t="str">
        <f>Q25</f>
        <v>临街状况</v>
      </c>
      <c r="AA25" s="1812">
        <f t="shared" si="3"/>
        <v>0.98039215686274506</v>
      </c>
      <c r="AB25" s="1812">
        <f t="shared" si="4"/>
        <v>0.98039215686274506</v>
      </c>
      <c r="AC25" s="1812">
        <f t="shared" si="5"/>
        <v>1</v>
      </c>
    </row>
    <row r="26" spans="1:29" ht="15">
      <c r="A26" s="428"/>
      <c r="B26" s="1388" t="s">
        <v>2648</v>
      </c>
      <c r="C26" s="2956" t="s">
        <v>3094</v>
      </c>
      <c r="D26" s="435">
        <v>100</v>
      </c>
      <c r="E26" s="2956" t="s">
        <v>3119</v>
      </c>
      <c r="F26" s="461">
        <f>SUMIF(88:88,E26,89:89)-SUMIF(88:88,C26,89:89)+100</f>
        <v>104</v>
      </c>
      <c r="G26" s="2956" t="s">
        <v>3119</v>
      </c>
      <c r="H26" s="435">
        <f>SUMIF(88:88,G26,89:89)-SUMIF(88:88,C26,89:89)+100</f>
        <v>104</v>
      </c>
      <c r="I26" s="2956" t="s">
        <v>3119</v>
      </c>
      <c r="J26" s="435">
        <f>SUMIF(88:88,I26,89:89)-SUMIF(88:88,C26,89:89)+100</f>
        <v>104</v>
      </c>
      <c r="K26" s="613"/>
      <c r="L26" s="1142"/>
      <c r="M26" s="1133"/>
      <c r="N26" s="1133"/>
      <c r="O26" s="1133"/>
      <c r="P26" s="3205"/>
      <c r="Q26" s="1811" t="str">
        <f t="shared" si="11"/>
        <v>平面位置/可视性</v>
      </c>
      <c r="R26" s="773" t="s">
        <v>17</v>
      </c>
      <c r="S26" s="774">
        <f>F26</f>
        <v>104</v>
      </c>
      <c r="T26" s="773" t="s">
        <v>17</v>
      </c>
      <c r="U26" s="774">
        <f>H26</f>
        <v>104</v>
      </c>
      <c r="V26" s="773" t="s">
        <v>17</v>
      </c>
      <c r="W26" s="774">
        <f>J26</f>
        <v>104</v>
      </c>
      <c r="X26" s="1814"/>
      <c r="Y26" s="3207"/>
      <c r="Z26" s="1815" t="str">
        <f>Q26</f>
        <v>平面位置/可视性</v>
      </c>
      <c r="AA26" s="1812">
        <f t="shared" si="3"/>
        <v>0.96153846153846156</v>
      </c>
      <c r="AB26" s="1812">
        <f t="shared" si="4"/>
        <v>0.96153846153846156</v>
      </c>
      <c r="AC26" s="1812">
        <f t="shared" si="5"/>
        <v>0.96153846153846156</v>
      </c>
    </row>
    <row r="27" spans="1:29" s="117" customFormat="1" ht="15">
      <c r="A27" s="431"/>
      <c r="B27" s="451" t="s">
        <v>2649</v>
      </c>
      <c r="C27" s="2662" t="s">
        <v>3083</v>
      </c>
      <c r="D27" s="462">
        <v>100</v>
      </c>
      <c r="E27" s="2662" t="s">
        <v>3084</v>
      </c>
      <c r="F27" s="464">
        <f>SUMIF(90:90,E27,91:91)-SUMIF(90:90,C27,91:91)+100</f>
        <v>101</v>
      </c>
      <c r="G27" s="2662" t="s">
        <v>3084</v>
      </c>
      <c r="H27" s="462">
        <f>SUMIF(90:90,G27,91:91)-SUMIF(90:90,C27,91:91)+100</f>
        <v>101</v>
      </c>
      <c r="I27" s="2662" t="s">
        <v>3084</v>
      </c>
      <c r="J27" s="462">
        <f>SUMIF(90:90,I27,91:91)-SUMIF(90:90,C27,91:91)+100</f>
        <v>101</v>
      </c>
      <c r="K27" s="612">
        <v>1</v>
      </c>
      <c r="L27" s="1134"/>
      <c r="M27" s="1135"/>
      <c r="N27" s="1135"/>
      <c r="O27" s="1135"/>
      <c r="P27" s="3205"/>
      <c r="Q27" s="1796" t="str">
        <f t="shared" si="11"/>
        <v>人流量</v>
      </c>
      <c r="R27" s="769" t="s">
        <v>17</v>
      </c>
      <c r="S27" s="770">
        <f>F27</f>
        <v>101</v>
      </c>
      <c r="T27" s="769" t="s">
        <v>17</v>
      </c>
      <c r="U27" s="770">
        <f>H27</f>
        <v>101</v>
      </c>
      <c r="V27" s="769" t="s">
        <v>17</v>
      </c>
      <c r="W27" s="770">
        <f>J27</f>
        <v>101</v>
      </c>
      <c r="X27" s="771"/>
      <c r="Y27" s="3207"/>
      <c r="Z27" s="55" t="str">
        <f>Q27</f>
        <v>人流量</v>
      </c>
      <c r="AA27" s="1812">
        <f>D27/F27</f>
        <v>0.99009900990099009</v>
      </c>
      <c r="AB27" s="1812">
        <f>D27/H27</f>
        <v>0.99009900990099009</v>
      </c>
      <c r="AC27" s="1812">
        <f>D27/J27</f>
        <v>0.99009900990099009</v>
      </c>
    </row>
    <row r="28" spans="1:29" ht="15.75" thickBot="1">
      <c r="A28" s="428"/>
      <c r="B28" s="422" t="s">
        <v>2650</v>
      </c>
      <c r="C28" s="616" t="s">
        <v>3100</v>
      </c>
      <c r="D28" s="435">
        <v>100</v>
      </c>
      <c r="E28" s="616" t="s">
        <v>3100</v>
      </c>
      <c r="F28" s="461">
        <f>SUMIF(92:92,E28,93:93)-SUMIF(92:92,C28,93:93)+100</f>
        <v>100</v>
      </c>
      <c r="G28" s="616" t="s">
        <v>3100</v>
      </c>
      <c r="H28" s="435">
        <f>SUMIF(92:92,G28,93:93)-SUMIF(92:92,C28,93:93)+100</f>
        <v>100</v>
      </c>
      <c r="I28" s="616" t="s">
        <v>3100</v>
      </c>
      <c r="J28" s="435">
        <f>SUMIF(92:92,I28,93:93)-SUMIF(92:92,C28,93:93)+100</f>
        <v>100</v>
      </c>
      <c r="K28" s="613"/>
      <c r="L28" s="1142"/>
      <c r="M28" s="1133"/>
      <c r="N28" s="1133"/>
      <c r="O28" s="1133"/>
      <c r="P28" s="3205"/>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7"/>
      <c r="Z28" s="1815" t="str">
        <f t="shared" ref="Z28:Z46" si="15">Q28</f>
        <v>楼层</v>
      </c>
      <c r="AA28" s="1812">
        <f t="shared" si="3"/>
        <v>1</v>
      </c>
      <c r="AB28" s="1812">
        <f t="shared" si="4"/>
        <v>1</v>
      </c>
      <c r="AC28" s="1812">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5"/>
      <c r="Q29" s="1811">
        <f t="shared" si="11"/>
        <v>111</v>
      </c>
      <c r="R29" s="773" t="s">
        <v>17</v>
      </c>
      <c r="S29" s="774">
        <f t="shared" si="12"/>
        <v>100</v>
      </c>
      <c r="T29" s="773" t="s">
        <v>17</v>
      </c>
      <c r="U29" s="774">
        <f t="shared" si="13"/>
        <v>100</v>
      </c>
      <c r="V29" s="773" t="s">
        <v>17</v>
      </c>
      <c r="W29" s="774">
        <f t="shared" si="14"/>
        <v>100</v>
      </c>
      <c r="X29" s="1814"/>
      <c r="Y29" s="3207"/>
      <c r="Z29" s="1815">
        <f t="shared" si="15"/>
        <v>111</v>
      </c>
      <c r="AA29" s="1812">
        <f t="shared" si="3"/>
        <v>1</v>
      </c>
      <c r="AB29" s="1812">
        <f t="shared" si="4"/>
        <v>1</v>
      </c>
      <c r="AC29" s="1812">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5"/>
      <c r="Q30" s="1811">
        <f t="shared" si="11"/>
        <v>111</v>
      </c>
      <c r="R30" s="773" t="s">
        <v>17</v>
      </c>
      <c r="S30" s="774">
        <f t="shared" si="12"/>
        <v>100</v>
      </c>
      <c r="T30" s="773" t="s">
        <v>17</v>
      </c>
      <c r="U30" s="774">
        <f t="shared" si="13"/>
        <v>100</v>
      </c>
      <c r="V30" s="773" t="s">
        <v>17</v>
      </c>
      <c r="W30" s="774">
        <f t="shared" si="14"/>
        <v>100</v>
      </c>
      <c r="X30" s="1814"/>
      <c r="Y30" s="3207"/>
      <c r="Z30" s="1815">
        <f t="shared" si="15"/>
        <v>111</v>
      </c>
      <c r="AA30" s="1812">
        <f t="shared" si="3"/>
        <v>1</v>
      </c>
      <c r="AB30" s="1812">
        <f t="shared" si="4"/>
        <v>1</v>
      </c>
      <c r="AC30" s="1812">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5"/>
      <c r="Q31" s="1811">
        <f t="shared" si="11"/>
        <v>111</v>
      </c>
      <c r="R31" s="773" t="s">
        <v>17</v>
      </c>
      <c r="S31" s="774">
        <f t="shared" si="12"/>
        <v>100</v>
      </c>
      <c r="T31" s="773" t="s">
        <v>17</v>
      </c>
      <c r="U31" s="774">
        <f t="shared" si="13"/>
        <v>100</v>
      </c>
      <c r="V31" s="773" t="s">
        <v>17</v>
      </c>
      <c r="W31" s="774">
        <f t="shared" si="14"/>
        <v>100</v>
      </c>
      <c r="X31" s="1814"/>
      <c r="Y31" s="3207"/>
      <c r="Z31" s="1815">
        <f t="shared" si="15"/>
        <v>111</v>
      </c>
      <c r="AA31" s="1812">
        <f t="shared" si="3"/>
        <v>1</v>
      </c>
      <c r="AB31" s="1812">
        <f t="shared" si="4"/>
        <v>1</v>
      </c>
      <c r="AC31" s="1812">
        <f t="shared" si="5"/>
        <v>1</v>
      </c>
    </row>
    <row r="32" spans="1:29" ht="15">
      <c r="A32" s="440" t="s">
        <v>2554</v>
      </c>
      <c r="B32" s="71" t="s">
        <v>2651</v>
      </c>
      <c r="C32" s="2615" t="s">
        <v>3105</v>
      </c>
      <c r="D32" s="467">
        <v>100</v>
      </c>
      <c r="E32" s="2615" t="s">
        <v>3103</v>
      </c>
      <c r="F32" s="461">
        <f>SUMIF(100:100,E32,101:101)-SUMIF(100:100,C32,101:101)+100</f>
        <v>102</v>
      </c>
      <c r="G32" s="2615" t="s">
        <v>3103</v>
      </c>
      <c r="H32" s="435">
        <f>SUMIF(100:100,G32,101:101)-SUMIF(100:100,C32,101:101)+100</f>
        <v>102</v>
      </c>
      <c r="I32" s="2615" t="s">
        <v>3101</v>
      </c>
      <c r="J32" s="467">
        <f>SUMIF(100:100,I32,101:101)-SUMIF(100:100,C32,101:101)+100</f>
        <v>104</v>
      </c>
      <c r="K32" s="612">
        <v>2</v>
      </c>
      <c r="L32" s="1142"/>
      <c r="M32" s="1133"/>
      <c r="N32" s="1133"/>
      <c r="O32" s="1133"/>
      <c r="P32" s="3208" t="s">
        <v>2556</v>
      </c>
      <c r="Q32" s="1811" t="str">
        <f t="shared" si="11"/>
        <v>商业类型</v>
      </c>
      <c r="R32" s="773" t="s">
        <v>17</v>
      </c>
      <c r="S32" s="774">
        <f t="shared" si="12"/>
        <v>102</v>
      </c>
      <c r="T32" s="773" t="s">
        <v>17</v>
      </c>
      <c r="U32" s="774">
        <f t="shared" si="13"/>
        <v>102</v>
      </c>
      <c r="V32" s="773" t="s">
        <v>17</v>
      </c>
      <c r="W32" s="774">
        <f t="shared" si="14"/>
        <v>104</v>
      </c>
      <c r="X32" s="1814"/>
      <c r="Y32" s="3211" t="s">
        <v>2556</v>
      </c>
      <c r="Z32" s="1815" t="str">
        <f t="shared" si="15"/>
        <v>商业类型</v>
      </c>
      <c r="AA32" s="1812">
        <f t="shared" si="3"/>
        <v>0.98039215686274506</v>
      </c>
      <c r="AB32" s="1812">
        <f t="shared" si="4"/>
        <v>0.98039215686274506</v>
      </c>
      <c r="AC32" s="1812">
        <f t="shared" si="5"/>
        <v>0.96153846153846156</v>
      </c>
    </row>
    <row r="33" spans="1:29" s="471" customFormat="1" ht="15">
      <c r="A33" s="468"/>
      <c r="B33" s="422" t="s">
        <v>2557</v>
      </c>
      <c r="C33" s="469">
        <f>'数据-基础表'!I13</f>
        <v>582.44000000000005</v>
      </c>
      <c r="D33" s="136">
        <v>100</v>
      </c>
      <c r="E33" s="430">
        <v>70</v>
      </c>
      <c r="F33" s="425">
        <f>LOOKUP(E33,103:103,104:104)-LOOKUP(C33,103:103,104:104)+100</f>
        <v>106</v>
      </c>
      <c r="G33" s="429">
        <v>500</v>
      </c>
      <c r="H33" s="136">
        <f>LOOKUP(G33,103:103,104:104)-LOOKUP(C33,103:103,104:104)+100</f>
        <v>100</v>
      </c>
      <c r="I33" s="429">
        <v>24</v>
      </c>
      <c r="J33" s="136">
        <f>LOOKUP(I33,103:103,104:104)-LOOKUP(C33,103:103,104:104)+100</f>
        <v>106</v>
      </c>
      <c r="K33" s="613"/>
      <c r="L33" s="1140"/>
      <c r="M33" s="1143"/>
      <c r="N33" s="1143"/>
      <c r="O33" s="1143"/>
      <c r="P33" s="3209"/>
      <c r="Q33" s="775" t="str">
        <f t="shared" si="11"/>
        <v>项目建筑规模</v>
      </c>
      <c r="R33" s="776" t="s">
        <v>17</v>
      </c>
      <c r="S33" s="777">
        <f t="shared" si="12"/>
        <v>106</v>
      </c>
      <c r="T33" s="776" t="s">
        <v>17</v>
      </c>
      <c r="U33" s="777">
        <f t="shared" si="13"/>
        <v>100</v>
      </c>
      <c r="V33" s="776" t="s">
        <v>17</v>
      </c>
      <c r="W33" s="777">
        <f t="shared" si="14"/>
        <v>106</v>
      </c>
      <c r="X33" s="778"/>
      <c r="Y33" s="3211"/>
      <c r="Z33" s="779" t="str">
        <f t="shared" si="15"/>
        <v>项目建筑规模</v>
      </c>
      <c r="AA33" s="1812">
        <f t="shared" si="3"/>
        <v>0.94339622641509435</v>
      </c>
      <c r="AB33" s="1812">
        <f t="shared" si="4"/>
        <v>1</v>
      </c>
      <c r="AC33" s="1812">
        <f t="shared" si="5"/>
        <v>0.94339622641509435</v>
      </c>
    </row>
    <row r="34" spans="1:29" ht="15">
      <c r="A34" s="472"/>
      <c r="B34" s="422" t="s">
        <v>2558</v>
      </c>
      <c r="C34" s="2616" t="s">
        <v>3106</v>
      </c>
      <c r="D34" s="435">
        <v>100</v>
      </c>
      <c r="E34" s="2616" t="s">
        <v>3106</v>
      </c>
      <c r="F34" s="461">
        <f>SUMIF(105:105,E34,106:106)-SUMIF(105:105,C34,106:106)+100</f>
        <v>100</v>
      </c>
      <c r="G34" s="2616" t="s">
        <v>3106</v>
      </c>
      <c r="H34" s="435">
        <f>SUMIF(105:105,G34,106:106)-SUMIF(105:105,C34,106:106)+100</f>
        <v>100</v>
      </c>
      <c r="I34" s="2616" t="s">
        <v>3106</v>
      </c>
      <c r="J34" s="435">
        <f>SUMIF(105:105,I34,106:106)-SUMIF(105:105,C34,106:106)+100</f>
        <v>100</v>
      </c>
      <c r="K34" s="612">
        <v>2</v>
      </c>
      <c r="L34" s="1142"/>
      <c r="M34" s="1133"/>
      <c r="N34" s="1133"/>
      <c r="O34" s="1133"/>
      <c r="P34" s="3209"/>
      <c r="Q34" s="1811" t="str">
        <f t="shared" si="11"/>
        <v>建筑结构</v>
      </c>
      <c r="R34" s="773" t="s">
        <v>17</v>
      </c>
      <c r="S34" s="774">
        <f t="shared" si="12"/>
        <v>100</v>
      </c>
      <c r="T34" s="773" t="s">
        <v>17</v>
      </c>
      <c r="U34" s="774">
        <f t="shared" si="13"/>
        <v>100</v>
      </c>
      <c r="V34" s="773" t="s">
        <v>17</v>
      </c>
      <c r="W34" s="774">
        <f t="shared" si="14"/>
        <v>100</v>
      </c>
      <c r="X34" s="1814"/>
      <c r="Y34" s="3211"/>
      <c r="Z34" s="1815" t="str">
        <f t="shared" si="15"/>
        <v>建筑结构</v>
      </c>
      <c r="AA34" s="1812">
        <f t="shared" si="3"/>
        <v>1</v>
      </c>
      <c r="AB34" s="1812">
        <f t="shared" si="4"/>
        <v>1</v>
      </c>
      <c r="AC34" s="1812">
        <f t="shared" si="5"/>
        <v>1</v>
      </c>
    </row>
    <row r="35" spans="1:29" ht="15" hidden="1">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v>2</v>
      </c>
      <c r="L35" s="1142"/>
      <c r="M35" s="1133"/>
      <c r="N35" s="1133"/>
      <c r="O35" s="1133"/>
      <c r="P35" s="3209"/>
      <c r="Q35" s="1811" t="str">
        <f t="shared" si="11"/>
        <v>公共部分装修</v>
      </c>
      <c r="R35" s="773" t="s">
        <v>17</v>
      </c>
      <c r="S35" s="774">
        <f t="shared" si="12"/>
        <v>100</v>
      </c>
      <c r="T35" s="773" t="s">
        <v>17</v>
      </c>
      <c r="U35" s="774">
        <f t="shared" si="13"/>
        <v>100</v>
      </c>
      <c r="V35" s="773" t="s">
        <v>17</v>
      </c>
      <c r="W35" s="774">
        <f t="shared" si="14"/>
        <v>100</v>
      </c>
      <c r="X35" s="1814"/>
      <c r="Y35" s="3211"/>
      <c r="Z35" s="1815" t="str">
        <f t="shared" si="15"/>
        <v>公共部分装修</v>
      </c>
      <c r="AA35" s="1812">
        <f t="shared" si="3"/>
        <v>1</v>
      </c>
      <c r="AB35" s="1812">
        <f t="shared" si="4"/>
        <v>1</v>
      </c>
      <c r="AC35" s="1812">
        <f t="shared" si="5"/>
        <v>1</v>
      </c>
    </row>
    <row r="36" spans="1:29" ht="15">
      <c r="A36" s="472"/>
      <c r="B36" s="422" t="s">
        <v>2653</v>
      </c>
      <c r="C36" s="474">
        <f>'数据-取费表'!N6</f>
        <v>0.92</v>
      </c>
      <c r="D36" s="435">
        <v>100</v>
      </c>
      <c r="E36" s="474">
        <v>0.95</v>
      </c>
      <c r="F36" s="461">
        <f>LOOKUP(E36,110:110,111:111)-LOOKUP(C36,110:110,111:111)+100</f>
        <v>100</v>
      </c>
      <c r="G36" s="474">
        <v>0.95</v>
      </c>
      <c r="H36" s="461">
        <f>LOOKUP(G36,110:110,111:111)-LOOKUP(C36,110:110,111:111)+100</f>
        <v>100</v>
      </c>
      <c r="I36" s="474">
        <v>0.9</v>
      </c>
      <c r="J36" s="435">
        <f>LOOKUP(I36,110:110,111:111)-LOOKUP(C36,110:110,111:111)+100</f>
        <v>100</v>
      </c>
      <c r="K36" s="612">
        <v>1</v>
      </c>
      <c r="L36" s="1142"/>
      <c r="M36" s="1133"/>
      <c r="N36" s="1133"/>
      <c r="O36" s="1133"/>
      <c r="P36" s="3209"/>
      <c r="Q36" s="1811" t="str">
        <f t="shared" si="11"/>
        <v>成新度</v>
      </c>
      <c r="R36" s="773" t="s">
        <v>17</v>
      </c>
      <c r="S36" s="774">
        <f t="shared" si="12"/>
        <v>100</v>
      </c>
      <c r="T36" s="773" t="s">
        <v>17</v>
      </c>
      <c r="U36" s="774">
        <f t="shared" si="13"/>
        <v>100</v>
      </c>
      <c r="V36" s="773" t="s">
        <v>17</v>
      </c>
      <c r="W36" s="774">
        <f t="shared" si="14"/>
        <v>100</v>
      </c>
      <c r="X36" s="1814"/>
      <c r="Y36" s="3211"/>
      <c r="Z36" s="1815" t="str">
        <f t="shared" si="15"/>
        <v>成新度</v>
      </c>
      <c r="AA36" s="1812">
        <f t="shared" si="3"/>
        <v>1</v>
      </c>
      <c r="AB36" s="1812">
        <f t="shared" si="4"/>
        <v>1</v>
      </c>
      <c r="AC36" s="1812">
        <f t="shared" si="5"/>
        <v>1</v>
      </c>
    </row>
    <row r="37" spans="1:29" s="117" customFormat="1" ht="15" hidden="1">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v>2</v>
      </c>
      <c r="L37" s="1134"/>
      <c r="M37" s="1135"/>
      <c r="N37" s="1135"/>
      <c r="O37" s="1135"/>
      <c r="P37" s="3209"/>
      <c r="Q37" s="1796"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2"/>
      <c r="B38" s="422" t="s">
        <v>2655</v>
      </c>
      <c r="C38" s="2611" t="s">
        <v>3117</v>
      </c>
      <c r="D38" s="435">
        <v>100</v>
      </c>
      <c r="E38" s="2611" t="s">
        <v>3117</v>
      </c>
      <c r="F38" s="461">
        <f>SUMIF(114:114,E38,115:115)-SUMIF(114:114,C38,115:115)+100</f>
        <v>100</v>
      </c>
      <c r="G38" s="2611" t="s">
        <v>3117</v>
      </c>
      <c r="H38" s="435">
        <f>SUMIF(114:114,G38,115:115)-SUMIF(114:114,C38,115:115)+100</f>
        <v>100</v>
      </c>
      <c r="I38" s="2611" t="s">
        <v>3117</v>
      </c>
      <c r="J38" s="435">
        <f>SUMIF(114:114,I38,115:115)-SUMIF(114:114,C38,115:115)+100</f>
        <v>100</v>
      </c>
      <c r="K38" s="612">
        <v>2</v>
      </c>
      <c r="L38" s="1142"/>
      <c r="M38" s="1133"/>
      <c r="N38" s="1133"/>
      <c r="O38" s="1133"/>
      <c r="P38" s="3209" t="s">
        <v>2556</v>
      </c>
      <c r="Q38" s="1811" t="str">
        <f t="shared" si="11"/>
        <v>业态</v>
      </c>
      <c r="R38" s="773" t="s">
        <v>17</v>
      </c>
      <c r="S38" s="774">
        <f t="shared" si="12"/>
        <v>100</v>
      </c>
      <c r="T38" s="773" t="s">
        <v>17</v>
      </c>
      <c r="U38" s="774">
        <f t="shared" si="13"/>
        <v>100</v>
      </c>
      <c r="V38" s="773" t="s">
        <v>17</v>
      </c>
      <c r="W38" s="774">
        <f t="shared" si="14"/>
        <v>100</v>
      </c>
      <c r="X38" s="1814"/>
      <c r="Y38" s="3211" t="s">
        <v>2556</v>
      </c>
      <c r="Z38" s="1815" t="str">
        <f t="shared" si="15"/>
        <v>业态</v>
      </c>
      <c r="AA38" s="1812">
        <f t="shared" si="3"/>
        <v>1</v>
      </c>
      <c r="AB38" s="1812">
        <f t="shared" si="4"/>
        <v>1</v>
      </c>
      <c r="AC38" s="1812">
        <f t="shared" si="5"/>
        <v>1</v>
      </c>
    </row>
    <row r="39" spans="1:29" ht="15" hidden="1">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2"/>
      <c r="M39" s="1133"/>
      <c r="N39" s="1133"/>
      <c r="O39" s="1133"/>
      <c r="P39" s="3209"/>
      <c r="Q39" s="1811" t="str">
        <f t="shared" si="11"/>
        <v>层高</v>
      </c>
      <c r="R39" s="773" t="s">
        <v>17</v>
      </c>
      <c r="S39" s="774">
        <f t="shared" si="12"/>
        <v>100</v>
      </c>
      <c r="T39" s="773" t="s">
        <v>17</v>
      </c>
      <c r="U39" s="774">
        <f t="shared" si="13"/>
        <v>100</v>
      </c>
      <c r="V39" s="773" t="s">
        <v>17</v>
      </c>
      <c r="W39" s="774">
        <f t="shared" si="14"/>
        <v>100</v>
      </c>
      <c r="X39" s="1814"/>
      <c r="Y39" s="3211"/>
      <c r="Z39" s="1815" t="str">
        <f t="shared" si="15"/>
        <v>层高</v>
      </c>
      <c r="AA39" s="1812">
        <f t="shared" si="3"/>
        <v>1</v>
      </c>
      <c r="AB39" s="1812">
        <f t="shared" si="4"/>
        <v>1</v>
      </c>
      <c r="AC39" s="1812">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09"/>
      <c r="Q40" s="1811" t="str">
        <f t="shared" si="11"/>
        <v>单套建筑面积</v>
      </c>
      <c r="R40" s="773" t="s">
        <v>17</v>
      </c>
      <c r="S40" s="774">
        <f t="shared" si="12"/>
        <v>100</v>
      </c>
      <c r="T40" s="773" t="s">
        <v>17</v>
      </c>
      <c r="U40" s="774">
        <f t="shared" si="13"/>
        <v>100</v>
      </c>
      <c r="V40" s="773" t="s">
        <v>17</v>
      </c>
      <c r="W40" s="774">
        <f t="shared" si="14"/>
        <v>100</v>
      </c>
      <c r="X40" s="1814"/>
      <c r="Y40" s="3211"/>
      <c r="Z40" s="1815" t="str">
        <f t="shared" si="15"/>
        <v>单套建筑面积</v>
      </c>
      <c r="AA40" s="1812">
        <f t="shared" si="3"/>
        <v>1</v>
      </c>
      <c r="AB40" s="1812">
        <f t="shared" si="4"/>
        <v>1</v>
      </c>
      <c r="AC40" s="1812">
        <f t="shared" si="5"/>
        <v>1</v>
      </c>
    </row>
    <row r="41" spans="1:29" s="471" customFormat="1" ht="15" hidden="1">
      <c r="A41" s="468"/>
      <c r="B41" s="1813"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12">
        <f t="shared" si="3"/>
        <v>1</v>
      </c>
      <c r="AB41" s="1812">
        <f t="shared" si="4"/>
        <v>1</v>
      </c>
      <c r="AC41" s="1812">
        <f t="shared" si="5"/>
        <v>1</v>
      </c>
    </row>
    <row r="42" spans="1:29" ht="15">
      <c r="A42" s="472"/>
      <c r="B42" s="422" t="s">
        <v>2659</v>
      </c>
      <c r="C42" s="2611" t="s">
        <v>3110</v>
      </c>
      <c r="D42" s="435">
        <v>100</v>
      </c>
      <c r="E42" s="2611" t="s">
        <v>3114</v>
      </c>
      <c r="F42" s="461">
        <f>SUMIF(122:122,E42,123:123)-SUMIF(122:122,C42,123:123)+100</f>
        <v>96</v>
      </c>
      <c r="G42" s="2611" t="s">
        <v>3114</v>
      </c>
      <c r="H42" s="435">
        <f>SUMIF(122:122,G42,123:123)-SUMIF(122:122,C42,123:123)+100</f>
        <v>96</v>
      </c>
      <c r="I42" s="2611" t="s">
        <v>3112</v>
      </c>
      <c r="J42" s="435">
        <f>SUMIF(122:122,I42,123:123)-SUMIF(122:122,C42,123:123)+100</f>
        <v>98</v>
      </c>
      <c r="K42" s="612">
        <v>2</v>
      </c>
      <c r="L42" s="1142"/>
      <c r="M42" s="1133"/>
      <c r="N42" s="1133"/>
      <c r="O42" s="1133"/>
      <c r="P42" s="3209"/>
      <c r="Q42" s="1811" t="str">
        <f t="shared" si="11"/>
        <v>内部装修</v>
      </c>
      <c r="R42" s="773" t="s">
        <v>17</v>
      </c>
      <c r="S42" s="774">
        <f t="shared" si="12"/>
        <v>96</v>
      </c>
      <c r="T42" s="773" t="s">
        <v>17</v>
      </c>
      <c r="U42" s="774">
        <f t="shared" si="13"/>
        <v>96</v>
      </c>
      <c r="V42" s="773" t="s">
        <v>17</v>
      </c>
      <c r="W42" s="774">
        <f t="shared" si="14"/>
        <v>98</v>
      </c>
      <c r="X42" s="1814"/>
      <c r="Y42" s="3211"/>
      <c r="Z42" s="1815" t="str">
        <f t="shared" si="15"/>
        <v>内部装修</v>
      </c>
      <c r="AA42" s="1812">
        <f t="shared" si="3"/>
        <v>1.0416666666666667</v>
      </c>
      <c r="AB42" s="1812">
        <f t="shared" si="4"/>
        <v>1.0416666666666667</v>
      </c>
      <c r="AC42" s="1812">
        <f t="shared" si="5"/>
        <v>1.0204081632653061</v>
      </c>
    </row>
    <row r="43" spans="1:29" ht="15.75" thickBot="1">
      <c r="A43" s="472"/>
      <c r="B43" s="422" t="s">
        <v>2567</v>
      </c>
      <c r="C43" s="2611" t="s">
        <v>3084</v>
      </c>
      <c r="D43" s="435">
        <v>100</v>
      </c>
      <c r="E43" s="2611" t="s">
        <v>3084</v>
      </c>
      <c r="F43" s="461">
        <f>SUMIF(124:124,E43,125:125)-SUMIF(124:124,C43,125:125)+100</f>
        <v>100</v>
      </c>
      <c r="G43" s="2611" t="s">
        <v>3084</v>
      </c>
      <c r="H43" s="435">
        <f>SUMIF(124:124,G43,125:125)-SUMIF(124:124,C43,125:125)+100</f>
        <v>100</v>
      </c>
      <c r="I43" s="2611" t="s">
        <v>3084</v>
      </c>
      <c r="J43" s="435">
        <f>SUMIF(124:124,I43,125:125)-SUMIF(124:124,C43,125:125)+100</f>
        <v>100</v>
      </c>
      <c r="K43" s="612">
        <v>2</v>
      </c>
      <c r="L43" s="1142"/>
      <c r="M43" s="1133"/>
      <c r="N43" s="1133"/>
      <c r="O43" s="1133"/>
      <c r="P43" s="3209"/>
      <c r="Q43" s="1811" t="str">
        <f t="shared" si="11"/>
        <v>内部装修维护情况</v>
      </c>
      <c r="R43" s="773" t="s">
        <v>17</v>
      </c>
      <c r="S43" s="774">
        <f t="shared" si="12"/>
        <v>100</v>
      </c>
      <c r="T43" s="773" t="s">
        <v>17</v>
      </c>
      <c r="U43" s="774">
        <f t="shared" si="13"/>
        <v>100</v>
      </c>
      <c r="V43" s="773" t="s">
        <v>17</v>
      </c>
      <c r="W43" s="774">
        <f t="shared" si="14"/>
        <v>100</v>
      </c>
      <c r="X43" s="1814"/>
      <c r="Y43" s="3211"/>
      <c r="Z43" s="1815" t="str">
        <f t="shared" si="15"/>
        <v>内部装修维护情况</v>
      </c>
      <c r="AA43" s="1812">
        <f t="shared" si="3"/>
        <v>1</v>
      </c>
      <c r="AB43" s="1812">
        <f t="shared" si="4"/>
        <v>1</v>
      </c>
      <c r="AC43" s="1812">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09"/>
      <c r="Q44" s="1796">
        <f t="shared" si="11"/>
        <v>111</v>
      </c>
      <c r="R44" s="769" t="s">
        <v>17</v>
      </c>
      <c r="S44" s="770">
        <f t="shared" si="12"/>
        <v>100</v>
      </c>
      <c r="T44" s="769" t="s">
        <v>17</v>
      </c>
      <c r="U44" s="770">
        <f t="shared" si="13"/>
        <v>100</v>
      </c>
      <c r="V44" s="769" t="s">
        <v>17</v>
      </c>
      <c r="W44" s="770">
        <f t="shared" si="14"/>
        <v>100</v>
      </c>
      <c r="X44" s="771"/>
      <c r="Y44" s="3211"/>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9"/>
      <c r="Q45" s="1811">
        <f t="shared" si="11"/>
        <v>111</v>
      </c>
      <c r="R45" s="773" t="s">
        <v>17</v>
      </c>
      <c r="S45" s="774">
        <f t="shared" si="12"/>
        <v>100</v>
      </c>
      <c r="T45" s="773" t="s">
        <v>17</v>
      </c>
      <c r="U45" s="774">
        <f t="shared" si="13"/>
        <v>100</v>
      </c>
      <c r="V45" s="773" t="s">
        <v>17</v>
      </c>
      <c r="W45" s="774">
        <f t="shared" si="14"/>
        <v>100</v>
      </c>
      <c r="X45" s="1814"/>
      <c r="Y45" s="3211"/>
      <c r="Z45" s="1815">
        <f t="shared" si="15"/>
        <v>111</v>
      </c>
      <c r="AA45" s="1812">
        <f t="shared" si="3"/>
        <v>1</v>
      </c>
      <c r="AB45" s="1812">
        <f t="shared" si="4"/>
        <v>1</v>
      </c>
      <c r="AC45" s="1812">
        <f t="shared" si="5"/>
        <v>1</v>
      </c>
    </row>
    <row r="46" spans="1:29" ht="15.75" hidden="1"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0"/>
      <c r="Q46" s="1811">
        <f t="shared" si="11"/>
        <v>111</v>
      </c>
      <c r="R46" s="773" t="s">
        <v>17</v>
      </c>
      <c r="S46" s="774">
        <f t="shared" si="12"/>
        <v>100</v>
      </c>
      <c r="T46" s="773" t="s">
        <v>17</v>
      </c>
      <c r="U46" s="774">
        <f t="shared" si="13"/>
        <v>100</v>
      </c>
      <c r="V46" s="773" t="s">
        <v>17</v>
      </c>
      <c r="W46" s="774">
        <f t="shared" si="14"/>
        <v>100</v>
      </c>
      <c r="X46" s="1814"/>
      <c r="Y46" s="3212"/>
      <c r="Z46" s="1815">
        <f t="shared" si="15"/>
        <v>111</v>
      </c>
      <c r="AA46" s="1812">
        <f t="shared" si="3"/>
        <v>1</v>
      </c>
      <c r="AB46" s="1812">
        <f t="shared" si="4"/>
        <v>1</v>
      </c>
      <c r="AC46" s="1812">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213" t="str">
        <f>A47</f>
        <v>成交单价（元/平方米）</v>
      </c>
      <c r="Q47" s="3213"/>
      <c r="R47" s="3175">
        <f>E47</f>
        <v>29400</v>
      </c>
      <c r="S47" s="3175"/>
      <c r="T47" s="3175">
        <f>G47</f>
        <v>27440</v>
      </c>
      <c r="U47" s="3175"/>
      <c r="V47" s="3175">
        <f>I47</f>
        <v>31850</v>
      </c>
      <c r="W47" s="3175"/>
      <c r="X47" s="758"/>
      <c r="Y47" s="780"/>
      <c r="Z47" s="758"/>
      <c r="AA47" s="758"/>
      <c r="AB47" s="758"/>
      <c r="AC47" s="758"/>
    </row>
    <row r="48" spans="1:29" ht="15.75" thickBot="1">
      <c r="A48" s="486" t="s">
        <v>2660</v>
      </c>
      <c r="B48" s="487"/>
      <c r="C48" s="1415">
        <f>R49</f>
        <v>26098</v>
      </c>
      <c r="D48" s="1416"/>
      <c r="E48" s="1417">
        <f>R48</f>
        <v>25662</v>
      </c>
      <c r="F48" s="1417"/>
      <c r="G48" s="1415">
        <f>T48</f>
        <v>25388</v>
      </c>
      <c r="H48" s="1416"/>
      <c r="I48" s="1417">
        <f>V48</f>
        <v>27244</v>
      </c>
      <c r="J48" s="1416"/>
      <c r="K48" s="783"/>
      <c r="L48" s="1145"/>
      <c r="M48" s="1146"/>
      <c r="N48" s="1133"/>
      <c r="O48" s="1146"/>
      <c r="P48" s="3213" t="str">
        <f>A48</f>
        <v>比较价值（元/平方米）</v>
      </c>
      <c r="Q48" s="3213"/>
      <c r="R48" s="3214">
        <f>IF(F1="售价",ROUND(PRODUCT(R47,AA7:AA46),0),ROUND(PRODUCT(R47,AA7:AA46),1))</f>
        <v>25662</v>
      </c>
      <c r="S48" s="3214"/>
      <c r="T48" s="3214">
        <f>IF(F1="售价",ROUND(PRODUCT(T47,AB7:AB46),0),ROUND(PRODUCT(T47,AB7:AB46),1))</f>
        <v>25388</v>
      </c>
      <c r="U48" s="3214"/>
      <c r="V48" s="3214">
        <f>IF(F1="售价",ROUND(PRODUCT(V47,AC7:AC46),0),ROUND(PRODUCT(V47,AC7:AC46),1))</f>
        <v>27244</v>
      </c>
      <c r="W48" s="3214"/>
      <c r="X48" s="758"/>
      <c r="Y48" s="758"/>
      <c r="Z48" s="758"/>
      <c r="AA48" s="758"/>
      <c r="AB48" s="758"/>
      <c r="AC48" s="758"/>
    </row>
    <row r="49" spans="1:29" ht="15.75" thickBot="1">
      <c r="A49" s="492" t="s">
        <v>2661</v>
      </c>
      <c r="B49" s="493"/>
      <c r="C49" s="1419">
        <f>R49</f>
        <v>26098</v>
      </c>
      <c r="D49" s="1419"/>
      <c r="E49" s="1419"/>
      <c r="F49" s="1419"/>
      <c r="G49" s="1419"/>
      <c r="H49" s="1419"/>
      <c r="I49" s="1419"/>
      <c r="J49" s="1419"/>
      <c r="K49" s="784"/>
      <c r="L49" s="1145"/>
      <c r="M49" s="1146"/>
      <c r="N49" s="1133"/>
      <c r="O49" s="1146"/>
      <c r="P49" s="3215" t="str">
        <f>A49</f>
        <v>估价对象XX用房的比较价值（楼面单价，元/平方米）</v>
      </c>
      <c r="Q49" s="3216"/>
      <c r="R49" s="3217">
        <f>IF(F1="售价",ROUND(AVERAGE(R48:V48),0),ROUND(AVERAGE(R48:V48),1))</f>
        <v>26098</v>
      </c>
      <c r="S49" s="3217"/>
      <c r="T49" s="3217"/>
      <c r="U49" s="3217"/>
      <c r="V49" s="3217"/>
      <c r="W49" s="321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0.14566284779050731</v>
      </c>
      <c r="F52" s="500" t="str">
        <f>IF(OR(E52&gt;=0.3,E52&lt;=-0.3),"超过30%","")</f>
        <v/>
      </c>
      <c r="G52" s="499">
        <f>IF(G47&lt;G48,G48/G47-1,G47/G48-1)</f>
        <v>8.0825586891444701E-2</v>
      </c>
      <c r="H52" s="500" t="str">
        <f>IF(OR(G52&gt;=0.3,G52&lt;=-0.3),"超过30%","")</f>
        <v/>
      </c>
      <c r="I52" s="499">
        <f>IF(I47&lt;I48,I48/I47-1,I47/I48-1)</f>
        <v>0.16906474820143891</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1.0792500393886906E-2</v>
      </c>
      <c r="F53" s="500" t="str">
        <f>IF(OR(E53&gt;=0.2,E53&lt;=-0.2),"超过20%","")</f>
        <v/>
      </c>
      <c r="G53" s="499">
        <f>IF(G48&lt;I48,I48/G48-1,G48/I48-1)</f>
        <v>7.3105404127934426E-2</v>
      </c>
      <c r="H53" s="500" t="str">
        <f>IF(OR(G53&gt;=0.2,G53&lt;=-0.2),"超过20%","")</f>
        <v/>
      </c>
      <c r="I53" s="499">
        <f>IF(I48&lt;E48,E48/I48-1,I48/E48-1)</f>
        <v>6.1647572285870256E-2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2579</v>
      </c>
      <c r="B63" s="528" t="s">
        <v>2545</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27"/>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27"/>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8"/>
      <c r="Q70" s="559"/>
    </row>
    <row r="71" spans="1:17" s="471" customFormat="1" ht="15.75" hidden="1" thickBot="1">
      <c r="A71" s="553"/>
      <c r="B71" s="543"/>
      <c r="C71" s="560"/>
      <c r="D71" s="536"/>
      <c r="E71" s="536"/>
      <c r="F71" s="536"/>
      <c r="G71" s="536"/>
      <c r="H71" s="536"/>
      <c r="I71" s="536"/>
      <c r="J71" s="536"/>
      <c r="K71" s="536"/>
      <c r="L71" s="536"/>
      <c r="M71" s="537"/>
      <c r="N71" s="1155"/>
      <c r="O71" s="1155"/>
      <c r="P71" s="2628"/>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29"/>
      <c r="Q72" s="561"/>
    </row>
    <row r="73" spans="1:17" s="471" customFormat="1" ht="15.75" hidden="1" thickBot="1">
      <c r="A73" s="553"/>
      <c r="B73" s="543"/>
      <c r="C73" s="560"/>
      <c r="D73" s="536"/>
      <c r="E73" s="536"/>
      <c r="F73" s="536"/>
      <c r="G73" s="560"/>
      <c r="H73" s="562"/>
      <c r="I73" s="562"/>
      <c r="J73" s="562"/>
      <c r="K73" s="562"/>
      <c r="L73" s="562"/>
      <c r="M73" s="563"/>
      <c r="N73" s="1156"/>
      <c r="O73" s="1156"/>
      <c r="P73" s="2628"/>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0"/>
      <c r="Q74" s="559"/>
    </row>
    <row r="75" spans="1:17" s="471" customFormat="1" ht="15.75" hidden="1" thickBot="1">
      <c r="A75" s="568"/>
      <c r="B75" s="569"/>
      <c r="C75" s="570"/>
      <c r="D75" s="570"/>
      <c r="E75" s="570"/>
      <c r="F75" s="570"/>
      <c r="G75" s="570"/>
      <c r="H75" s="571"/>
      <c r="I75" s="571"/>
      <c r="J75" s="571"/>
      <c r="K75" s="571"/>
      <c r="L75" s="571"/>
      <c r="M75" s="572"/>
      <c r="N75" s="1156"/>
      <c r="O75" s="1156"/>
      <c r="P75" s="2628"/>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27"/>
      <c r="Q85" s="504"/>
    </row>
    <row r="86" spans="1:17" s="117" customFormat="1" ht="15.75" thickTop="1">
      <c r="A86" s="579"/>
      <c r="B86" s="538" t="s">
        <v>2671</v>
      </c>
      <c r="C86" s="2954" t="s">
        <v>3086</v>
      </c>
      <c r="D86" s="2954" t="s">
        <v>3087</v>
      </c>
      <c r="E86" s="2954" t="s">
        <v>3089</v>
      </c>
      <c r="F86" s="2954" t="s">
        <v>3090</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5"/>
      <c r="O87" s="1155"/>
      <c r="P87" s="2627"/>
      <c r="Q87" s="504"/>
    </row>
    <row r="88" spans="1:17" s="117" customFormat="1" ht="15.75" thickTop="1">
      <c r="A88" s="579"/>
      <c r="B88" s="538" t="str">
        <f>B26</f>
        <v>平面位置/可视性</v>
      </c>
      <c r="C88" s="2954" t="s">
        <v>3091</v>
      </c>
      <c r="D88" s="2954" t="s">
        <v>3092</v>
      </c>
      <c r="E88" s="2954" t="s">
        <v>3093</v>
      </c>
      <c r="F88" s="2955" t="s">
        <v>3094</v>
      </c>
      <c r="G88" s="2954" t="s">
        <v>3095</v>
      </c>
      <c r="H88" s="554"/>
      <c r="I88" s="554"/>
      <c r="J88" s="554"/>
      <c r="K88" s="554"/>
      <c r="L88" s="554"/>
      <c r="M88" s="581"/>
      <c r="N88" s="1153"/>
      <c r="O88" s="1153"/>
      <c r="P88" s="2627"/>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27"/>
      <c r="Q89" s="504"/>
    </row>
    <row r="90" spans="1:17" s="471" customFormat="1" ht="15.75" thickTop="1">
      <c r="A90" s="553"/>
      <c r="B90" s="538" t="str">
        <f>B27</f>
        <v>人流量</v>
      </c>
      <c r="C90" s="2954" t="s">
        <v>3091</v>
      </c>
      <c r="D90" s="2954" t="s">
        <v>3092</v>
      </c>
      <c r="E90" s="2954" t="s">
        <v>3093</v>
      </c>
      <c r="F90" s="2955" t="s">
        <v>3094</v>
      </c>
      <c r="G90" s="2954" t="s">
        <v>3095</v>
      </c>
      <c r="H90" s="555"/>
      <c r="I90" s="555"/>
      <c r="J90" s="555"/>
      <c r="K90" s="555"/>
      <c r="L90" s="556"/>
      <c r="M90" s="557"/>
      <c r="N90" s="1156"/>
      <c r="O90" s="1156"/>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28"/>
      <c r="Q91" s="559"/>
    </row>
    <row r="92" spans="1:17" ht="15.75" thickTop="1">
      <c r="A92" s="534"/>
      <c r="B92" s="538" t="str">
        <f>B28</f>
        <v>楼层</v>
      </c>
      <c r="C92" s="554" t="s">
        <v>3096</v>
      </c>
      <c r="D92" s="554" t="s">
        <v>3097</v>
      </c>
      <c r="E92" s="554" t="s">
        <v>3098</v>
      </c>
      <c r="F92" s="554" t="s">
        <v>3099</v>
      </c>
      <c r="G92" s="554"/>
      <c r="H92" s="554"/>
      <c r="I92" s="554"/>
      <c r="J92" s="554"/>
      <c r="K92" s="554"/>
      <c r="L92" s="580"/>
      <c r="M92" s="581"/>
      <c r="N92" s="1154"/>
      <c r="O92" s="1154"/>
      <c r="P92" s="2627"/>
      <c r="Q92" s="504"/>
    </row>
    <row r="93" spans="1:17" ht="15.75" thickBot="1">
      <c r="A93" s="534"/>
      <c r="B93" s="543"/>
      <c r="C93" s="536">
        <v>100</v>
      </c>
      <c r="D93" s="536">
        <v>90</v>
      </c>
      <c r="E93" s="536">
        <v>80</v>
      </c>
      <c r="F93" s="536">
        <v>60</v>
      </c>
      <c r="G93" s="536"/>
      <c r="H93" s="536"/>
      <c r="I93" s="536"/>
      <c r="J93" s="536"/>
      <c r="K93" s="536"/>
      <c r="L93" s="536"/>
      <c r="M93" s="537"/>
      <c r="N93" s="1155"/>
      <c r="O93" s="1155"/>
      <c r="P93" s="2627"/>
      <c r="Q93" s="504"/>
    </row>
    <row r="94" spans="1:17" ht="15.75" hidden="1" thickTop="1">
      <c r="A94" s="534"/>
      <c r="B94" s="538">
        <f>B29</f>
        <v>111</v>
      </c>
      <c r="C94" s="554"/>
      <c r="D94" s="554"/>
      <c r="E94" s="554"/>
      <c r="F94" s="554"/>
      <c r="G94" s="583"/>
      <c r="H94" s="583"/>
      <c r="I94" s="583"/>
      <c r="J94" s="583"/>
      <c r="K94" s="584"/>
      <c r="L94" s="585"/>
      <c r="M94" s="586"/>
      <c r="N94" s="1154"/>
      <c r="O94" s="1154"/>
      <c r="P94" s="2627"/>
      <c r="Q94" s="504"/>
    </row>
    <row r="95" spans="1:17" ht="15.75" hidden="1" thickBot="1">
      <c r="A95" s="534"/>
      <c r="B95" s="543"/>
      <c r="C95" s="560"/>
      <c r="D95" s="536"/>
      <c r="E95" s="536"/>
      <c r="F95" s="536"/>
      <c r="G95" s="536"/>
      <c r="H95" s="536"/>
      <c r="I95" s="536"/>
      <c r="J95" s="536"/>
      <c r="K95" s="536"/>
      <c r="L95" s="536"/>
      <c r="M95" s="537"/>
      <c r="N95" s="1155"/>
      <c r="O95" s="1155"/>
      <c r="P95" s="2627"/>
      <c r="Q95" s="504"/>
    </row>
    <row r="96" spans="1:17" ht="15.75" hidden="1" thickTop="1">
      <c r="A96" s="534"/>
      <c r="B96" s="538">
        <f>B30</f>
        <v>111</v>
      </c>
      <c r="C96" s="554"/>
      <c r="D96" s="554"/>
      <c r="E96" s="554"/>
      <c r="F96" s="554"/>
      <c r="G96" s="583"/>
      <c r="H96" s="583"/>
      <c r="I96" s="583"/>
      <c r="J96" s="583"/>
      <c r="K96" s="584"/>
      <c r="L96" s="585"/>
      <c r="M96" s="586"/>
      <c r="N96" s="1154"/>
      <c r="O96" s="1154"/>
      <c r="P96" s="2627"/>
      <c r="Q96" s="504"/>
    </row>
    <row r="97" spans="1:17" ht="15.75" hidden="1" thickBot="1">
      <c r="A97" s="534"/>
      <c r="B97" s="543"/>
      <c r="C97" s="560"/>
      <c r="D97" s="536"/>
      <c r="E97" s="536"/>
      <c r="F97" s="536"/>
      <c r="G97" s="536"/>
      <c r="H97" s="536"/>
      <c r="I97" s="536"/>
      <c r="J97" s="536"/>
      <c r="K97" s="536"/>
      <c r="L97" s="536"/>
      <c r="M97" s="537"/>
      <c r="N97" s="1155"/>
      <c r="O97" s="1155"/>
      <c r="P97" s="2627"/>
      <c r="Q97" s="504"/>
    </row>
    <row r="98" spans="1:17" ht="15.75" hidden="1" thickTop="1">
      <c r="A98" s="534"/>
      <c r="B98" s="546">
        <f>B31</f>
        <v>111</v>
      </c>
      <c r="C98" s="554"/>
      <c r="D98" s="554"/>
      <c r="E98" s="554"/>
      <c r="F98" s="554"/>
      <c r="G98" s="587"/>
      <c r="H98" s="587"/>
      <c r="I98" s="587"/>
      <c r="J98" s="587"/>
      <c r="K98" s="588"/>
      <c r="L98" s="589"/>
      <c r="M98" s="590"/>
      <c r="N98" s="1154"/>
      <c r="O98" s="1154"/>
      <c r="P98" s="2627"/>
      <c r="Q98" s="504"/>
    </row>
    <row r="99" spans="1:17" ht="15.75" hidden="1" thickBot="1">
      <c r="A99" s="2633"/>
      <c r="B99" s="569"/>
      <c r="C99" s="570"/>
      <c r="D99" s="570"/>
      <c r="E99" s="570"/>
      <c r="F99" s="570"/>
      <c r="G99" s="591"/>
      <c r="H99" s="591"/>
      <c r="I99" s="591"/>
      <c r="J99" s="591"/>
      <c r="K99" s="591"/>
      <c r="L99" s="591"/>
      <c r="M99" s="592"/>
      <c r="N99" s="1155"/>
      <c r="O99" s="1155"/>
      <c r="P99" s="2627"/>
      <c r="Q99" s="504"/>
    </row>
    <row r="100" spans="1:17" ht="15" thickTop="1">
      <c r="A100" s="527" t="s">
        <v>2554</v>
      </c>
      <c r="B100" s="528" t="s">
        <v>2672</v>
      </c>
      <c r="C100" s="2957" t="s">
        <v>3102</v>
      </c>
      <c r="D100" s="2957" t="s">
        <v>3104</v>
      </c>
      <c r="E100" s="2957" t="s">
        <v>3120</v>
      </c>
      <c r="F100" s="2957"/>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27"/>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28"/>
      <c r="Q104" s="559"/>
    </row>
    <row r="105" spans="1:17" ht="15" thickTop="1">
      <c r="A105" s="599"/>
      <c r="B105" s="538" t="s">
        <v>2605</v>
      </c>
      <c r="C105" s="2954" t="s">
        <v>3107</v>
      </c>
      <c r="D105" s="2954" t="s">
        <v>3108</v>
      </c>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27"/>
      <c r="Q106" s="504"/>
    </row>
    <row r="107" spans="1:17" ht="15" thickTop="1">
      <c r="A107" s="599"/>
      <c r="B107" s="538" t="s">
        <v>2607</v>
      </c>
      <c r="C107" s="2954" t="s">
        <v>3109</v>
      </c>
      <c r="D107" s="2954" t="s">
        <v>3111</v>
      </c>
      <c r="E107" s="2954" t="s">
        <v>3113</v>
      </c>
      <c r="F107" s="2958" t="s">
        <v>3115</v>
      </c>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27"/>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28"/>
      <c r="Q113" s="559"/>
    </row>
    <row r="114" spans="1:17" ht="15" thickTop="1">
      <c r="A114" s="599"/>
      <c r="B114" s="538" t="s">
        <v>2673</v>
      </c>
      <c r="C114" s="2954" t="s">
        <v>3116</v>
      </c>
      <c r="D114" s="2954" t="s">
        <v>3118</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27"/>
      <c r="Q115" s="504"/>
    </row>
    <row r="116" spans="1:17" ht="15" thickTop="1">
      <c r="A116" s="599"/>
      <c r="B116" s="538" t="s">
        <v>2674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hidden="1" thickTop="1">
      <c r="A118" s="599"/>
      <c r="B118" s="538" t="s">
        <v>2675</v>
      </c>
      <c r="C118" s="627"/>
      <c r="D118" s="627"/>
      <c r="E118" s="627"/>
      <c r="F118" s="627"/>
      <c r="G118" s="627"/>
      <c r="H118" s="555"/>
      <c r="I118" s="555"/>
      <c r="J118" s="555"/>
      <c r="K118" s="555"/>
      <c r="L118" s="556"/>
      <c r="M118" s="557"/>
      <c r="N118" s="1154"/>
      <c r="O118" s="1154"/>
      <c r="P118" s="2627"/>
      <c r="Q118" s="504"/>
    </row>
    <row r="119" spans="1:17" ht="15.75" hidden="1"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28"/>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2611</v>
      </c>
      <c r="C122" s="2954" t="s">
        <v>3109</v>
      </c>
      <c r="D122" s="2954" t="s">
        <v>3111</v>
      </c>
      <c r="E122" s="2954" t="s">
        <v>3113</v>
      </c>
      <c r="F122" s="2958" t="s">
        <v>3115</v>
      </c>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2517</v>
      </c>
      <c r="B1" s="2560"/>
      <c r="C1" s="2560"/>
      <c r="D1" s="2560"/>
      <c r="E1" s="2561"/>
    </row>
    <row r="2" spans="1:6" ht="15.75">
      <c r="A2" s="2562" t="s">
        <v>2318</v>
      </c>
      <c r="B2" s="2563">
        <f ca="1">SUMIF(B6:B13,"&lt;&gt;#ref!",B6:B13)</f>
        <v>970</v>
      </c>
      <c r="C2" s="2564" t="s">
        <v>2510</v>
      </c>
      <c r="D2" s="2565" t="s">
        <v>2511</v>
      </c>
      <c r="E2" s="2566">
        <f>SUM(E6:E13)</f>
        <v>582.44000000000005</v>
      </c>
    </row>
    <row r="3" spans="1:6" ht="15.75">
      <c r="A3" s="2562" t="s">
        <v>1395</v>
      </c>
      <c r="B3" s="2563">
        <f ca="1">ROUND(B2*10000/E2,0)</f>
        <v>16654</v>
      </c>
      <c r="C3" s="2564" t="s">
        <v>2518</v>
      </c>
      <c r="D3" s="2567"/>
      <c r="E3" s="2568"/>
    </row>
    <row r="4" spans="1:6" ht="15.75">
      <c r="A4" s="2569"/>
      <c r="B4" s="2567"/>
      <c r="C4" s="2567"/>
      <c r="D4" s="2567"/>
      <c r="E4" s="2568"/>
    </row>
    <row r="5" spans="1:6" ht="15">
      <c r="A5" s="2570" t="s">
        <v>2512</v>
      </c>
      <c r="B5" s="3218" t="s">
        <v>2513</v>
      </c>
      <c r="C5" s="3218"/>
      <c r="D5" s="2571"/>
      <c r="E5" s="2572" t="s">
        <v>2514</v>
      </c>
      <c r="F5" s="2573" t="s">
        <v>2515</v>
      </c>
    </row>
    <row r="6" spans="1:6">
      <c r="A6" s="2574" t="str">
        <f>'数据-取费表'!AN6</f>
        <v>收益法</v>
      </c>
      <c r="B6" s="2573">
        <f ca="1">IF(F6="是",'数据-取费表'!AO6,0)</f>
        <v>970</v>
      </c>
      <c r="C6" s="2564" t="s">
        <v>2510</v>
      </c>
      <c r="D6" s="2567"/>
      <c r="E6" s="2575">
        <f>IF(OR(A6=0,F6="否"),0,'数据-取费表'!K6+'数据-取费表'!S6)</f>
        <v>582.44000000000005</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303" t="s">
        <v>1079</v>
      </c>
      <c r="E2" s="1303" t="s">
        <v>1080</v>
      </c>
      <c r="F2" s="1303" t="s">
        <v>1081</v>
      </c>
      <c r="G2" s="1303" t="s">
        <v>1082</v>
      </c>
      <c r="H2" s="1303" t="s">
        <v>1083</v>
      </c>
      <c r="I2" s="1304" t="s">
        <v>1084</v>
      </c>
    </row>
    <row r="3" spans="1:9">
      <c r="A3" s="3224"/>
      <c r="B3" s="3225" t="s">
        <v>1085</v>
      </c>
      <c r="C3" s="3225"/>
      <c r="D3" s="1305"/>
      <c r="E3" s="1303"/>
      <c r="F3" s="1306"/>
      <c r="G3" s="1306"/>
      <c r="H3" s="1307"/>
      <c r="I3" s="1308">
        <f>ROUND(D3*E3*F3*G3*H3/10000,0)</f>
        <v>0</v>
      </c>
    </row>
    <row r="4" spans="1:9">
      <c r="A4" s="3224"/>
      <c r="B4" s="3225" t="s">
        <v>1086</v>
      </c>
      <c r="C4" s="3225"/>
      <c r="D4" s="1305"/>
      <c r="E4" s="1303"/>
      <c r="F4" s="1306"/>
      <c r="G4" s="1306"/>
      <c r="H4" s="1307"/>
      <c r="I4" s="1308">
        <f t="shared" ref="I4:I9" si="0">ROUND(D4*E4*F4*G4*H4/10000,0)</f>
        <v>0</v>
      </c>
    </row>
    <row r="5" spans="1:9">
      <c r="A5" s="3224"/>
      <c r="B5" s="3225" t="s">
        <v>1087</v>
      </c>
      <c r="C5" s="3225"/>
      <c r="D5" s="1305"/>
      <c r="E5" s="1303"/>
      <c r="F5" s="1306"/>
      <c r="G5" s="1306"/>
      <c r="H5" s="1307"/>
      <c r="I5" s="1308">
        <f t="shared" si="0"/>
        <v>0</v>
      </c>
    </row>
    <row r="6" spans="1:9">
      <c r="A6" s="3224"/>
      <c r="B6" s="3225" t="s">
        <v>1088</v>
      </c>
      <c r="C6" s="3225"/>
      <c r="D6" s="1305"/>
      <c r="E6" s="1303"/>
      <c r="F6" s="1306"/>
      <c r="G6" s="1306"/>
      <c r="H6" s="1307"/>
      <c r="I6" s="1308">
        <f t="shared" si="0"/>
        <v>0</v>
      </c>
    </row>
    <row r="7" spans="1:9">
      <c r="A7" s="3224"/>
      <c r="B7" s="3225" t="s">
        <v>1089</v>
      </c>
      <c r="C7" s="3225"/>
      <c r="D7" s="1305"/>
      <c r="E7" s="1303"/>
      <c r="F7" s="1306"/>
      <c r="G7" s="1306"/>
      <c r="H7" s="1307"/>
      <c r="I7" s="1308">
        <f t="shared" si="0"/>
        <v>0</v>
      </c>
    </row>
    <row r="8" spans="1:9">
      <c r="A8" s="3224"/>
      <c r="B8" s="3225" t="s">
        <v>1090</v>
      </c>
      <c r="C8" s="3225"/>
      <c r="D8" s="1305"/>
      <c r="E8" s="1303"/>
      <c r="F8" s="1306"/>
      <c r="G8" s="1306"/>
      <c r="H8" s="1307"/>
      <c r="I8" s="1308">
        <f t="shared" si="0"/>
        <v>0</v>
      </c>
    </row>
    <row r="9" spans="1:9">
      <c r="A9" s="3224"/>
      <c r="B9" s="3225" t="s">
        <v>1091</v>
      </c>
      <c r="C9" s="3225"/>
      <c r="D9" s="1305"/>
      <c r="E9" s="1303"/>
      <c r="F9" s="1306"/>
      <c r="G9" s="1306"/>
      <c r="H9" s="1307"/>
      <c r="I9" s="1308">
        <f t="shared" si="0"/>
        <v>0</v>
      </c>
    </row>
    <row r="10" spans="1:9">
      <c r="A10" s="3224"/>
      <c r="B10" s="3226" t="s">
        <v>1092</v>
      </c>
      <c r="C10" s="3226"/>
      <c r="D10" s="1309"/>
      <c r="E10" s="1309" t="e">
        <f>ROUND(D1*10000/D10/H9,0)</f>
        <v>#DIV/0!</v>
      </c>
      <c r="F10" s="1310"/>
      <c r="G10" s="1310"/>
      <c r="H10" s="1311"/>
      <c r="I10" s="1312">
        <f>SUM(I3:I9)</f>
        <v>0</v>
      </c>
    </row>
    <row r="11" spans="1:9" ht="14.25">
      <c r="A11" s="3224" t="s">
        <v>1093</v>
      </c>
      <c r="B11" s="3225" t="s">
        <v>1094</v>
      </c>
      <c r="C11" s="3225"/>
      <c r="D11" s="1305" t="s">
        <v>1095</v>
      </c>
      <c r="E11" s="1305" t="s">
        <v>1096</v>
      </c>
      <c r="F11" s="1306" t="s">
        <v>1097</v>
      </c>
      <c r="G11" s="1306" t="s">
        <v>1083</v>
      </c>
      <c r="H11" s="1313" t="s">
        <v>1098</v>
      </c>
      <c r="I11" s="1304" t="s">
        <v>1084</v>
      </c>
    </row>
    <row r="12" spans="1:9">
      <c r="A12" s="3224"/>
      <c r="B12" s="3225" t="s">
        <v>1099</v>
      </c>
      <c r="C12" s="3225"/>
      <c r="D12" s="1305"/>
      <c r="E12" s="1305"/>
      <c r="F12" s="1306"/>
      <c r="G12" s="1307"/>
      <c r="H12" s="1314"/>
      <c r="I12" s="1304">
        <f>ROUND(D12*E12*F12*G12/10000,0)</f>
        <v>0</v>
      </c>
    </row>
    <row r="13" spans="1:9">
      <c r="A13" s="3224"/>
      <c r="B13" s="3225" t="s">
        <v>1100</v>
      </c>
      <c r="C13" s="3225"/>
      <c r="D13" s="1305"/>
      <c r="E13" s="1305"/>
      <c r="F13" s="1306"/>
      <c r="G13" s="1307"/>
      <c r="H13" s="1314"/>
      <c r="I13" s="1304">
        <f>ROUND(D13*E13*F13*G13/10000,0)</f>
        <v>0</v>
      </c>
    </row>
    <row r="14" spans="1:9">
      <c r="A14" s="3224"/>
      <c r="B14" s="3225" t="s">
        <v>1101</v>
      </c>
      <c r="C14" s="3225"/>
      <c r="D14" s="1305"/>
      <c r="E14" s="1305"/>
      <c r="F14" s="1306"/>
      <c r="G14" s="1307"/>
      <c r="H14" s="1314"/>
      <c r="I14" s="1304">
        <f>ROUND(D14*E14*F14*G14/10000,0)</f>
        <v>0</v>
      </c>
    </row>
    <row r="15" spans="1:9">
      <c r="A15" s="3224"/>
      <c r="B15" s="3226" t="s">
        <v>1092</v>
      </c>
      <c r="C15" s="3226"/>
      <c r="D15" s="1309"/>
      <c r="E15" s="1309">
        <f>SUM(E12:E14)</f>
        <v>0</v>
      </c>
      <c r="F15" s="1310"/>
      <c r="G15" s="1307"/>
      <c r="H15" s="1314"/>
      <c r="I15" s="1315">
        <f>SUM(I12:I14)</f>
        <v>0</v>
      </c>
    </row>
    <row r="16" spans="1:9" ht="24">
      <c r="A16" s="3224" t="s">
        <v>1102</v>
      </c>
      <c r="B16" s="3225" t="s">
        <v>1103</v>
      </c>
      <c r="C16" s="3225"/>
      <c r="D16" s="1305" t="s">
        <v>1079</v>
      </c>
      <c r="E16" s="1316" t="s">
        <v>1104</v>
      </c>
      <c r="F16" s="1306" t="s">
        <v>1105</v>
      </c>
      <c r="G16" s="1307" t="s">
        <v>1083</v>
      </c>
      <c r="H16" s="1313" t="s">
        <v>1098</v>
      </c>
      <c r="I16" s="1304" t="s">
        <v>1084</v>
      </c>
    </row>
    <row r="17" spans="1:9" ht="14.25">
      <c r="A17" s="3224"/>
      <c r="B17" s="3225" t="s">
        <v>1106</v>
      </c>
      <c r="C17" s="3225"/>
      <c r="D17" s="1305"/>
      <c r="E17" s="1305"/>
      <c r="F17" s="1306"/>
      <c r="G17" s="1307"/>
      <c r="H17" s="1317"/>
      <c r="I17" s="1318">
        <f>ROUND(D17*E17*F17*G17/10000,0)</f>
        <v>0</v>
      </c>
    </row>
    <row r="18" spans="1:9" ht="14.25">
      <c r="A18" s="3224"/>
      <c r="B18" s="3225" t="s">
        <v>1107</v>
      </c>
      <c r="C18" s="3225"/>
      <c r="D18" s="1305"/>
      <c r="E18" s="1305"/>
      <c r="F18" s="1306"/>
      <c r="G18" s="1307"/>
      <c r="H18" s="1317"/>
      <c r="I18" s="1318">
        <f>ROUND(D18*E18*F18*G18/10000,0)</f>
        <v>0</v>
      </c>
    </row>
    <row r="19" spans="1:9" ht="14.25">
      <c r="A19" s="3224"/>
      <c r="B19" s="3225" t="s">
        <v>1108</v>
      </c>
      <c r="C19" s="3225"/>
      <c r="D19" s="1305"/>
      <c r="E19" s="1305"/>
      <c r="F19" s="1306"/>
      <c r="G19" s="1307"/>
      <c r="H19" s="1317"/>
      <c r="I19" s="1318">
        <f>ROUND(D19*E19*F19*G19/10000,0)</f>
        <v>0</v>
      </c>
    </row>
    <row r="20" spans="1:9">
      <c r="A20" s="3224"/>
      <c r="B20" s="3226" t="s">
        <v>1092</v>
      </c>
      <c r="C20" s="3226"/>
      <c r="D20" s="1309">
        <f>SUM(D17:D19)</f>
        <v>0</v>
      </c>
      <c r="E20" s="1309"/>
      <c r="F20" s="1310"/>
      <c r="G20" s="1307"/>
      <c r="H20" s="1314"/>
      <c r="I20" s="1315">
        <f>SUM(I17:I19)</f>
        <v>0</v>
      </c>
    </row>
    <row r="21" spans="1:9">
      <c r="A21" s="3224" t="s">
        <v>1109</v>
      </c>
      <c r="B21" s="3228"/>
      <c r="C21" s="3228"/>
      <c r="D21" s="3228"/>
      <c r="E21" s="3228"/>
      <c r="F21" s="3228"/>
      <c r="G21" s="3228"/>
      <c r="H21" s="1767">
        <v>0.1</v>
      </c>
      <c r="I21" s="1312">
        <f>ROUND(I10*H21,0)</f>
        <v>0</v>
      </c>
    </row>
    <row r="22" spans="1:9" ht="14.25">
      <c r="A22" s="3229" t="s">
        <v>1110</v>
      </c>
      <c r="B22" s="3230"/>
      <c r="C22" s="3231"/>
      <c r="D22" s="1319" t="s">
        <v>1111</v>
      </c>
      <c r="E22" s="1319" t="s">
        <v>1112</v>
      </c>
      <c r="F22" s="1320" t="s">
        <v>1113</v>
      </c>
      <c r="G22" s="1320" t="s">
        <v>1114</v>
      </c>
      <c r="H22" s="1313" t="s">
        <v>1115</v>
      </c>
      <c r="I22" s="1304" t="s">
        <v>1116</v>
      </c>
    </row>
    <row r="23" spans="1:9" ht="14.25" thickBot="1">
      <c r="A23" s="3232"/>
      <c r="B23" s="3233"/>
      <c r="C23" s="3234"/>
      <c r="D23" s="1321"/>
      <c r="E23" s="1321"/>
      <c r="F23" s="1321"/>
      <c r="G23" s="1322"/>
      <c r="H23" s="1323"/>
      <c r="I23" s="1324">
        <f>ROUND(E23*D23*F23*(1-G23)/10000,0)</f>
        <v>0</v>
      </c>
    </row>
    <row r="26" spans="1:9">
      <c r="A26" s="1325" t="s">
        <v>1117</v>
      </c>
      <c r="B26" s="1325"/>
      <c r="C26" s="1325"/>
      <c r="D26" s="1325"/>
      <c r="E26" s="3235">
        <f>C27-C30-C31-C32</f>
        <v>0</v>
      </c>
      <c r="F26" s="3235"/>
      <c r="G26" s="3235"/>
      <c r="H26" s="1739" t="s">
        <v>1340</v>
      </c>
    </row>
    <row r="27" spans="1:9">
      <c r="A27" s="1326">
        <v>1</v>
      </c>
      <c r="B27" s="1327" t="s">
        <v>1118</v>
      </c>
      <c r="C27" s="1327">
        <f>C28+C29</f>
        <v>0</v>
      </c>
      <c r="D27" s="1327"/>
      <c r="E27" s="3236"/>
      <c r="F27" s="3236"/>
      <c r="G27" s="3236"/>
    </row>
    <row r="28" spans="1:9">
      <c r="A28" s="1328" t="s">
        <v>1119</v>
      </c>
      <c r="B28" s="1327" t="s">
        <v>1120</v>
      </c>
      <c r="C28" s="1327"/>
      <c r="D28" s="1327"/>
      <c r="E28" s="3236"/>
      <c r="F28" s="3236"/>
      <c r="G28" s="323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7"/>
      <c r="F32" s="3227"/>
      <c r="G32" s="3227"/>
    </row>
    <row r="33" spans="1:7" hidden="1">
      <c r="A33" s="3237" t="s">
        <v>1129</v>
      </c>
      <c r="B33" s="3238"/>
      <c r="C33" s="3238"/>
      <c r="D33" s="3239"/>
      <c r="E33" s="3235"/>
      <c r="F33" s="3235"/>
      <c r="G33" s="3235"/>
    </row>
    <row r="34" spans="1:7" hidden="1">
      <c r="A34" s="1330">
        <v>1</v>
      </c>
      <c r="B34" s="1327" t="s">
        <v>1130</v>
      </c>
      <c r="C34" s="1327"/>
      <c r="D34" s="1327"/>
      <c r="E34" s="3236"/>
      <c r="F34" s="3236"/>
      <c r="G34" s="3236"/>
    </row>
    <row r="35" spans="1:7" hidden="1">
      <c r="A35" s="1330">
        <v>2</v>
      </c>
      <c r="B35" s="1327" t="s">
        <v>1131</v>
      </c>
      <c r="C35" s="1327"/>
      <c r="D35" s="1327"/>
      <c r="E35" s="3236"/>
      <c r="F35" s="3236"/>
      <c r="G35" s="3236"/>
    </row>
    <row r="36" spans="1:7" hidden="1">
      <c r="A36" s="1330">
        <v>3</v>
      </c>
      <c r="B36" s="1327" t="s">
        <v>1132</v>
      </c>
      <c r="C36" s="1327"/>
      <c r="D36" s="1327"/>
      <c r="E36" s="3236"/>
      <c r="F36" s="3236"/>
      <c r="G36" s="3236"/>
    </row>
    <row r="37" spans="1:7" hidden="1">
      <c r="A37" s="1330">
        <v>4</v>
      </c>
      <c r="B37" s="1327" t="s">
        <v>1133</v>
      </c>
      <c r="C37" s="1327"/>
      <c r="D37" s="1327"/>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 zoomScale="90" zoomScaleNormal="90" workbookViewId="0">
      <selection activeCell="K10" sqref="K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0" t="s">
        <v>2520</v>
      </c>
      <c r="C1" s="1636" t="s">
        <v>2521</v>
      </c>
      <c r="D1" s="1623" t="s">
        <v>3144</v>
      </c>
      <c r="E1" s="2581"/>
      <c r="F1" s="2582" t="s">
        <v>2522</v>
      </c>
      <c r="G1" s="1633" t="s">
        <v>2523</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0">
        <f>IF(C2="——",ROUND(C49*D3/10000,0),ROUND(C49*D3/10000,0)-D2)</f>
        <v>1013</v>
      </c>
      <c r="C2" s="2584" t="s">
        <v>70</v>
      </c>
      <c r="D2" s="1367" t="e">
        <f ca="1">SUMIF(INDIRECT("'"&amp;F2&amp;"'"&amp;"!A:A"),"承租人权益价值",INDIRECT("'"&amp;F2&amp;"'"&amp;"!c:c"))</f>
        <v>#REF!</v>
      </c>
      <c r="E2" s="2585" t="s">
        <v>2524</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17396</v>
      </c>
      <c r="C3" s="400" t="s">
        <v>2525</v>
      </c>
      <c r="D3" s="399">
        <f>IF(D1="",'数据-汇总表'!E3,SUMIF('数据-汇总表'!$C19:$C33,D1,'数据-汇总表'!$E19:$E33))</f>
        <v>582.44000000000005</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1" t="s">
        <v>2526</v>
      </c>
      <c r="B4" s="402"/>
      <c r="C4" s="3191" t="s">
        <v>2527</v>
      </c>
      <c r="D4" s="3192"/>
      <c r="E4" s="3193" t="s">
        <v>2528</v>
      </c>
      <c r="F4" s="3194"/>
      <c r="G4" s="3191" t="s">
        <v>2529</v>
      </c>
      <c r="H4" s="3192"/>
      <c r="I4" s="3191" t="s">
        <v>2530</v>
      </c>
      <c r="J4" s="3192"/>
      <c r="K4" s="2594" t="s">
        <v>2531</v>
      </c>
      <c r="L4" s="1132"/>
      <c r="M4" s="1133"/>
      <c r="N4" s="1133"/>
      <c r="O4" s="1133"/>
      <c r="P4" s="3195" t="s">
        <v>2532</v>
      </c>
      <c r="Q4" s="3196"/>
      <c r="R4" s="3178" t="s">
        <v>2528</v>
      </c>
      <c r="S4" s="3179"/>
      <c r="T4" s="3178" t="s">
        <v>2529</v>
      </c>
      <c r="U4" s="3179"/>
      <c r="V4" s="3175" t="s">
        <v>2530</v>
      </c>
      <c r="W4" s="3175"/>
      <c r="X4" s="1814"/>
      <c r="Y4" s="3178" t="s">
        <v>2532</v>
      </c>
      <c r="Z4" s="3179"/>
      <c r="AA4" s="3172" t="s">
        <v>2528</v>
      </c>
      <c r="AB4" s="3172" t="s">
        <v>2529</v>
      </c>
      <c r="AC4" s="3172" t="s">
        <v>2530</v>
      </c>
    </row>
    <row r="5" spans="1:29" ht="15">
      <c r="A5" s="404"/>
      <c r="B5" s="405"/>
      <c r="C5" s="3240" t="s">
        <v>2533</v>
      </c>
      <c r="D5" s="3241"/>
      <c r="E5" s="3182" t="s">
        <v>3152</v>
      </c>
      <c r="F5" s="3183"/>
      <c r="G5" s="3184" t="s">
        <v>3197</v>
      </c>
      <c r="H5" s="3185"/>
      <c r="I5" s="3184" t="s">
        <v>3199</v>
      </c>
      <c r="J5" s="3185"/>
      <c r="K5" s="2595"/>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242" t="s">
        <v>2537</v>
      </c>
      <c r="D6" s="3243"/>
      <c r="E6" s="3244" t="s">
        <v>2537</v>
      </c>
      <c r="F6" s="3245"/>
      <c r="G6" s="3242" t="s">
        <v>2537</v>
      </c>
      <c r="H6" s="3243"/>
      <c r="I6" s="3242" t="s">
        <v>2537</v>
      </c>
      <c r="J6" s="3243"/>
      <c r="K6" s="2595" t="s">
        <v>2538</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2596"/>
      <c r="L7" s="1134"/>
      <c r="M7" s="1135"/>
      <c r="N7" s="1135"/>
      <c r="O7" s="1135"/>
      <c r="P7" s="3176" t="s">
        <v>2540</v>
      </c>
      <c r="Q7" s="3203"/>
      <c r="R7" s="769" t="s">
        <v>23</v>
      </c>
      <c r="S7" s="770">
        <f t="shared" ref="S7:S15" si="0">F7</f>
        <v>100</v>
      </c>
      <c r="T7" s="769" t="s">
        <v>23</v>
      </c>
      <c r="U7" s="770">
        <f t="shared" ref="U7:U15" si="1">H7</f>
        <v>100</v>
      </c>
      <c r="V7" s="769" t="s">
        <v>23</v>
      </c>
      <c r="W7" s="770">
        <f t="shared" ref="W7:W15" si="2">J7</f>
        <v>100</v>
      </c>
      <c r="X7" s="771"/>
      <c r="Y7" s="3176" t="s">
        <v>2540</v>
      </c>
      <c r="Z7" s="3177"/>
      <c r="AA7" s="772">
        <f>D7/F7</f>
        <v>1</v>
      </c>
      <c r="AB7" s="772">
        <f>D7/H7</f>
        <v>1</v>
      </c>
      <c r="AC7" s="772">
        <f>D7/J7</f>
        <v>1</v>
      </c>
    </row>
    <row r="8" spans="1:29" s="117" customFormat="1" ht="15.75" thickBot="1">
      <c r="A8" s="408" t="s">
        <v>2541</v>
      </c>
      <c r="B8" s="409"/>
      <c r="C8" s="414" t="s">
        <v>2542</v>
      </c>
      <c r="D8" s="411">
        <v>100</v>
      </c>
      <c r="E8" s="2597" t="s">
        <v>3077</v>
      </c>
      <c r="F8" s="413">
        <f>SUMIF(61:61,E8,62:62)-SUMIF(61:61,C8,62:62)+100</f>
        <v>100</v>
      </c>
      <c r="G8" s="414" t="s">
        <v>3077</v>
      </c>
      <c r="H8" s="411">
        <f>SUMIF(61:61,G8,62:62)-SUMIF(61:61,C8,62:62)+100</f>
        <v>100</v>
      </c>
      <c r="I8" s="2597" t="s">
        <v>3077</v>
      </c>
      <c r="J8" s="411">
        <f>SUMIF(61:61,I8,62:62)-SUMIF(61:61,C8,62:62)+100</f>
        <v>100</v>
      </c>
      <c r="K8" s="2596"/>
      <c r="L8" s="1134"/>
      <c r="M8" s="1135"/>
      <c r="N8" s="1135"/>
      <c r="O8" s="1135"/>
      <c r="P8" s="3176" t="s">
        <v>2543</v>
      </c>
      <c r="Q8" s="3177"/>
      <c r="R8" s="769" t="s">
        <v>23</v>
      </c>
      <c r="S8" s="770">
        <f t="shared" si="0"/>
        <v>100</v>
      </c>
      <c r="T8" s="769" t="s">
        <v>23</v>
      </c>
      <c r="U8" s="770">
        <f t="shared" si="1"/>
        <v>100</v>
      </c>
      <c r="V8" s="769" t="s">
        <v>23</v>
      </c>
      <c r="W8" s="770">
        <f t="shared" si="2"/>
        <v>100</v>
      </c>
      <c r="X8" s="771"/>
      <c r="Y8" s="3176" t="s">
        <v>2543</v>
      </c>
      <c r="Z8" s="3177"/>
      <c r="AA8" s="772">
        <f t="shared" ref="AA8:AA19" si="3">D8/F8</f>
        <v>1</v>
      </c>
      <c r="AB8" s="772">
        <f t="shared" ref="AB8:AB19" si="4">D8/H8</f>
        <v>1</v>
      </c>
      <c r="AC8" s="772">
        <f t="shared" ref="AC8:AC19" si="5">D8/J8</f>
        <v>1</v>
      </c>
    </row>
    <row r="9" spans="1:29" s="117" customFormat="1">
      <c r="A9" s="415" t="s">
        <v>2544</v>
      </c>
      <c r="B9" s="71" t="s">
        <v>2545</v>
      </c>
      <c r="C9" s="2953" t="s">
        <v>3153</v>
      </c>
      <c r="D9" s="135">
        <v>100</v>
      </c>
      <c r="E9" s="417" t="s">
        <v>3144</v>
      </c>
      <c r="F9" s="418">
        <f>SUMIF(63:63,E9,64:64)-SUMIF(63:63,C9,64:64)+100</f>
        <v>100</v>
      </c>
      <c r="G9" s="419" t="s">
        <v>3144</v>
      </c>
      <c r="H9" s="135">
        <f>SUMIF(63:63,G9,64:64)-SUMIF(63:63,C9,64:64)+100</f>
        <v>100</v>
      </c>
      <c r="I9" s="419" t="s">
        <v>3144</v>
      </c>
      <c r="J9" s="135">
        <f>SUMIF(63:63,I9,64:64)-SUMIF(63:63,C9,64:64)+100</f>
        <v>100</v>
      </c>
      <c r="K9" s="2596"/>
      <c r="L9" s="1134"/>
      <c r="M9" s="1135"/>
      <c r="N9" s="1135"/>
      <c r="O9" s="1135"/>
      <c r="P9" s="3190"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772">
        <f t="shared" si="5"/>
        <v>1</v>
      </c>
    </row>
    <row r="10" spans="1:29" s="427" customFormat="1" ht="27.75" thickBot="1">
      <c r="A10" s="421"/>
      <c r="B10" s="422" t="s">
        <v>2548</v>
      </c>
      <c r="C10" s="423" t="s">
        <v>3154</v>
      </c>
      <c r="D10" s="136">
        <v>100</v>
      </c>
      <c r="E10" s="424" t="s">
        <v>3178</v>
      </c>
      <c r="F10" s="425">
        <f>SUMIF(65:65,E10,66:66)-SUMIF(65:65,C10,66:66)+100</f>
        <v>102</v>
      </c>
      <c r="G10" s="423" t="s">
        <v>3178</v>
      </c>
      <c r="H10" s="136">
        <f>SUMIF(65:65,G10,66:66)-SUMIF(65:65,C10,66:66)+100</f>
        <v>102</v>
      </c>
      <c r="I10" s="423" t="s">
        <v>3178</v>
      </c>
      <c r="J10" s="136">
        <f>SUMIF(65:65,I10,66:66)-SUMIF(65:65,C10,66:66)+100</f>
        <v>102</v>
      </c>
      <c r="K10" s="2981">
        <v>2</v>
      </c>
      <c r="L10" s="1137"/>
      <c r="M10" s="1138"/>
      <c r="N10" s="1138"/>
      <c r="O10" s="1138"/>
      <c r="P10" s="3190"/>
      <c r="Q10" s="1796" t="str">
        <f t="shared" si="6"/>
        <v>土地使用年限（年）</v>
      </c>
      <c r="R10" s="769" t="s">
        <v>17</v>
      </c>
      <c r="S10" s="770">
        <f t="shared" si="0"/>
        <v>102</v>
      </c>
      <c r="T10" s="769" t="s">
        <v>17</v>
      </c>
      <c r="U10" s="770">
        <f t="shared" si="1"/>
        <v>102</v>
      </c>
      <c r="V10" s="769" t="s">
        <v>17</v>
      </c>
      <c r="W10" s="770">
        <f t="shared" si="2"/>
        <v>102</v>
      </c>
      <c r="X10" s="771"/>
      <c r="Y10" s="3049"/>
      <c r="Z10" s="55" t="str">
        <f t="shared" si="7"/>
        <v>土地使用年限（年）</v>
      </c>
      <c r="AA10" s="772">
        <f t="shared" si="3"/>
        <v>0.98039215686274506</v>
      </c>
      <c r="AB10" s="772">
        <f t="shared" si="4"/>
        <v>0.98039215686274506</v>
      </c>
      <c r="AC10" s="772">
        <f t="shared" si="5"/>
        <v>0.98039215686274506</v>
      </c>
    </row>
    <row r="11" spans="1:29" ht="14.25" hidden="1" customHeigh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90"/>
      <c r="Q11" s="1796" t="str">
        <f t="shared" si="6"/>
        <v>容积率</v>
      </c>
      <c r="R11" s="769" t="s">
        <v>21</v>
      </c>
      <c r="S11" s="770">
        <f t="shared" si="0"/>
        <v>100</v>
      </c>
      <c r="T11" s="769" t="s">
        <v>21</v>
      </c>
      <c r="U11" s="770">
        <f t="shared" si="1"/>
        <v>100</v>
      </c>
      <c r="V11" s="769" t="s">
        <v>21</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4"/>
      <c r="M12" s="1135"/>
      <c r="N12" s="1135"/>
      <c r="O12" s="1135"/>
      <c r="P12" s="3190"/>
      <c r="Q12" s="1796">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2"/>
      <c r="M13" s="1133"/>
      <c r="N13" s="1133"/>
      <c r="O13" s="1133"/>
      <c r="P13" s="3190"/>
      <c r="Q13" s="1796">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2"/>
      <c r="M14" s="1133"/>
      <c r="N14" s="1133"/>
      <c r="O14" s="1133"/>
      <c r="P14" s="3190"/>
      <c r="Q14" s="1796">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15">
      <c r="A15" s="440" t="s">
        <v>2550</v>
      </c>
      <c r="B15" s="69" t="s">
        <v>2084</v>
      </c>
      <c r="C15" s="2601"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04" t="s">
        <v>2551</v>
      </c>
      <c r="Q15" s="1811" t="str">
        <f t="shared" si="6"/>
        <v>居住社区成熟度</v>
      </c>
      <c r="R15" s="773" t="s">
        <v>21</v>
      </c>
      <c r="S15" s="774">
        <f t="shared" si="0"/>
        <v>100</v>
      </c>
      <c r="T15" s="773" t="s">
        <v>21</v>
      </c>
      <c r="U15" s="774">
        <f t="shared" si="1"/>
        <v>100</v>
      </c>
      <c r="V15" s="773" t="s">
        <v>21</v>
      </c>
      <c r="W15" s="774">
        <f t="shared" si="2"/>
        <v>100</v>
      </c>
      <c r="X15" s="1814"/>
      <c r="Y15" s="3206" t="s">
        <v>2551</v>
      </c>
      <c r="Z15" s="1815" t="str">
        <f t="shared" si="7"/>
        <v>居住社区成熟度</v>
      </c>
      <c r="AA15" s="1812">
        <f t="shared" si="3"/>
        <v>1</v>
      </c>
      <c r="AB15" s="1812">
        <f t="shared" si="4"/>
        <v>1</v>
      </c>
      <c r="AC15" s="1812">
        <f t="shared" si="5"/>
        <v>1</v>
      </c>
    </row>
    <row r="16" spans="1:29" ht="15">
      <c r="A16" s="428"/>
      <c r="B16" s="446"/>
      <c r="C16" s="447" t="s">
        <v>3084</v>
      </c>
      <c r="D16" s="448"/>
      <c r="E16" s="2602" t="s">
        <v>3084</v>
      </c>
      <c r="F16" s="448"/>
      <c r="G16" s="2603" t="s">
        <v>3084</v>
      </c>
      <c r="H16" s="450"/>
      <c r="I16" s="2603" t="s">
        <v>3084</v>
      </c>
      <c r="J16" s="448"/>
      <c r="K16" s="2604"/>
      <c r="L16" s="1142"/>
      <c r="M16" s="1133"/>
      <c r="N16" s="1133"/>
      <c r="O16" s="1133"/>
      <c r="P16" s="3205"/>
      <c r="Q16" s="1811"/>
      <c r="R16" s="773"/>
      <c r="S16" s="774"/>
      <c r="T16" s="773"/>
      <c r="U16" s="774"/>
      <c r="V16" s="773"/>
      <c r="W16" s="774"/>
      <c r="X16" s="1814"/>
      <c r="Y16" s="3207"/>
      <c r="Z16" s="1815"/>
      <c r="AA16" s="1812">
        <v>1</v>
      </c>
      <c r="AB16" s="1812">
        <v>1</v>
      </c>
      <c r="AC16" s="1812">
        <v>1</v>
      </c>
    </row>
    <row r="17" spans="1:29" ht="15">
      <c r="A17" s="428"/>
      <c r="B17" s="451" t="s">
        <v>2090</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05"/>
      <c r="Q17" s="1811" t="str">
        <f>B17</f>
        <v>交通便捷度</v>
      </c>
      <c r="R17" s="773" t="s">
        <v>21</v>
      </c>
      <c r="S17" s="774">
        <f>F17</f>
        <v>100</v>
      </c>
      <c r="T17" s="773" t="s">
        <v>21</v>
      </c>
      <c r="U17" s="774">
        <f>H17</f>
        <v>100</v>
      </c>
      <c r="V17" s="773" t="s">
        <v>21</v>
      </c>
      <c r="W17" s="774">
        <f>J17</f>
        <v>100</v>
      </c>
      <c r="X17" s="1814"/>
      <c r="Y17" s="3207"/>
      <c r="Z17" s="1815" t="str">
        <f>Q17</f>
        <v>交通便捷度</v>
      </c>
      <c r="AA17" s="1812">
        <f t="shared" si="3"/>
        <v>1</v>
      </c>
      <c r="AB17" s="1812">
        <f t="shared" si="4"/>
        <v>1</v>
      </c>
      <c r="AC17" s="1812">
        <f t="shared" si="5"/>
        <v>1</v>
      </c>
    </row>
    <row r="18" spans="1:29" ht="15">
      <c r="A18" s="428"/>
      <c r="B18" s="456"/>
      <c r="C18" s="2606" t="s">
        <v>3083</v>
      </c>
      <c r="D18" s="450"/>
      <c r="E18" s="2607" t="s">
        <v>3083</v>
      </c>
      <c r="F18" s="450"/>
      <c r="G18" s="2608" t="s">
        <v>3083</v>
      </c>
      <c r="H18" s="448"/>
      <c r="I18" s="2608" t="s">
        <v>3083</v>
      </c>
      <c r="J18" s="448"/>
      <c r="K18" s="2604"/>
      <c r="L18" s="1142"/>
      <c r="M18" s="1133"/>
      <c r="N18" s="1133"/>
      <c r="O18" s="1133"/>
      <c r="P18" s="3205"/>
      <c r="Q18" s="1811"/>
      <c r="R18" s="773"/>
      <c r="S18" s="774"/>
      <c r="T18" s="773"/>
      <c r="U18" s="774"/>
      <c r="V18" s="773"/>
      <c r="W18" s="774"/>
      <c r="X18" s="1814"/>
      <c r="Y18" s="3207"/>
      <c r="Z18" s="1815"/>
      <c r="AA18" s="1812">
        <v>1</v>
      </c>
      <c r="AB18" s="1812">
        <v>1</v>
      </c>
      <c r="AC18" s="1812">
        <v>1</v>
      </c>
    </row>
    <row r="19" spans="1:29" ht="15">
      <c r="A19" s="428"/>
      <c r="B19" s="451" t="s">
        <v>2089</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05"/>
      <c r="Q19" s="1811" t="str">
        <f>B19</f>
        <v>公共配套设施</v>
      </c>
      <c r="R19" s="773" t="s">
        <v>21</v>
      </c>
      <c r="S19" s="774">
        <f>F19</f>
        <v>100</v>
      </c>
      <c r="T19" s="773" t="s">
        <v>21</v>
      </c>
      <c r="U19" s="774">
        <f>H19</f>
        <v>100</v>
      </c>
      <c r="V19" s="773" t="s">
        <v>21</v>
      </c>
      <c r="W19" s="774">
        <f>J19</f>
        <v>100</v>
      </c>
      <c r="X19" s="1814"/>
      <c r="Y19" s="3207"/>
      <c r="Z19" s="1815" t="str">
        <f>Q19</f>
        <v>公共配套设施</v>
      </c>
      <c r="AA19" s="1812">
        <f t="shared" si="3"/>
        <v>1</v>
      </c>
      <c r="AB19" s="1812">
        <f t="shared" si="4"/>
        <v>1</v>
      </c>
      <c r="AC19" s="1812">
        <f t="shared" si="5"/>
        <v>1</v>
      </c>
    </row>
    <row r="20" spans="1:29" ht="15">
      <c r="A20" s="428"/>
      <c r="B20" s="456"/>
      <c r="C20" s="447" t="s">
        <v>3083</v>
      </c>
      <c r="D20" s="448"/>
      <c r="E20" s="447" t="s">
        <v>3083</v>
      </c>
      <c r="F20" s="448"/>
      <c r="G20" s="447" t="s">
        <v>3083</v>
      </c>
      <c r="H20" s="448"/>
      <c r="I20" s="447" t="s">
        <v>3083</v>
      </c>
      <c r="J20" s="448"/>
      <c r="K20" s="2604"/>
      <c r="L20" s="1142"/>
      <c r="M20" s="1133"/>
      <c r="N20" s="1133"/>
      <c r="O20" s="1133"/>
      <c r="P20" s="3205"/>
      <c r="Q20" s="1811"/>
      <c r="R20" s="773"/>
      <c r="S20" s="774"/>
      <c r="T20" s="773"/>
      <c r="U20" s="774"/>
      <c r="V20" s="773"/>
      <c r="W20" s="774"/>
      <c r="X20" s="1814"/>
      <c r="Y20" s="3207"/>
      <c r="Z20" s="1815"/>
      <c r="AA20" s="1812">
        <v>1</v>
      </c>
      <c r="AB20" s="1812">
        <v>1</v>
      </c>
      <c r="AC20" s="1812">
        <v>1</v>
      </c>
    </row>
    <row r="21" spans="1:29" ht="15">
      <c r="A21" s="428"/>
      <c r="B21" s="1386" t="s">
        <v>2091</v>
      </c>
      <c r="C21" s="2605"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05"/>
      <c r="Q21" s="1811" t="str">
        <f>B21</f>
        <v>基础设施水平</v>
      </c>
      <c r="R21" s="773" t="s">
        <v>17</v>
      </c>
      <c r="S21" s="774">
        <f>F21</f>
        <v>100</v>
      </c>
      <c r="T21" s="773" t="s">
        <v>17</v>
      </c>
      <c r="U21" s="774">
        <f>H21</f>
        <v>100</v>
      </c>
      <c r="V21" s="773" t="s">
        <v>17</v>
      </c>
      <c r="W21" s="774">
        <f>J21</f>
        <v>100</v>
      </c>
      <c r="X21" s="1814"/>
      <c r="Y21" s="3207"/>
      <c r="Z21" s="1815" t="str">
        <f>Q21</f>
        <v>基础设施水平</v>
      </c>
      <c r="AA21" s="1812">
        <f t="shared" ref="AA21" si="8">D21/F21</f>
        <v>1</v>
      </c>
      <c r="AB21" s="1812">
        <f t="shared" ref="AB21" si="9">D21/H21</f>
        <v>1</v>
      </c>
      <c r="AC21" s="1812">
        <f t="shared" ref="AC21" si="10">D21/J21</f>
        <v>1</v>
      </c>
    </row>
    <row r="22" spans="1:29" ht="15">
      <c r="A22" s="428"/>
      <c r="B22" s="1386"/>
      <c r="C22" s="2606" t="s">
        <v>3085</v>
      </c>
      <c r="D22" s="448"/>
      <c r="E22" s="2606" t="s">
        <v>3085</v>
      </c>
      <c r="F22" s="448"/>
      <c r="G22" s="2606" t="s">
        <v>3085</v>
      </c>
      <c r="H22" s="448"/>
      <c r="I22" s="2606" t="s">
        <v>3085</v>
      </c>
      <c r="J22" s="448"/>
      <c r="K22" s="2610"/>
      <c r="L22" s="1142"/>
      <c r="M22" s="1133"/>
      <c r="N22" s="1133"/>
      <c r="O22" s="1133"/>
      <c r="P22" s="3205"/>
      <c r="Q22" s="1811"/>
      <c r="R22" s="773"/>
      <c r="S22" s="774"/>
      <c r="T22" s="773"/>
      <c r="U22" s="774"/>
      <c r="V22" s="773"/>
      <c r="W22" s="774"/>
      <c r="X22" s="1814"/>
      <c r="Y22" s="3207"/>
      <c r="Z22" s="1815"/>
      <c r="AA22" s="1812">
        <v>1</v>
      </c>
      <c r="AB22" s="1812">
        <v>1</v>
      </c>
      <c r="AC22" s="1812">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05"/>
      <c r="Q23" s="1811" t="str">
        <f>B23</f>
        <v>自然及人文环境</v>
      </c>
      <c r="R23" s="773" t="s">
        <v>21</v>
      </c>
      <c r="S23" s="774">
        <f>F23</f>
        <v>100</v>
      </c>
      <c r="T23" s="773" t="s">
        <v>21</v>
      </c>
      <c r="U23" s="774">
        <f>H23</f>
        <v>100</v>
      </c>
      <c r="V23" s="773" t="s">
        <v>21</v>
      </c>
      <c r="W23" s="774">
        <f>J23</f>
        <v>100</v>
      </c>
      <c r="X23" s="1814"/>
      <c r="Y23" s="3207"/>
      <c r="Z23" s="1815" t="str">
        <f>Q23</f>
        <v>自然及人文环境</v>
      </c>
      <c r="AA23" s="1812">
        <f>D23/F23</f>
        <v>1</v>
      </c>
      <c r="AB23" s="1812">
        <f>D23/H23</f>
        <v>1</v>
      </c>
      <c r="AC23" s="1812">
        <f>D23/J23</f>
        <v>1</v>
      </c>
    </row>
    <row r="24" spans="1:29" ht="15">
      <c r="A24" s="428"/>
      <c r="B24" s="456"/>
      <c r="C24" s="447" t="s">
        <v>3083</v>
      </c>
      <c r="D24" s="448"/>
      <c r="E24" s="447" t="s">
        <v>3083</v>
      </c>
      <c r="F24" s="448"/>
      <c r="G24" s="447" t="s">
        <v>3083</v>
      </c>
      <c r="H24" s="448"/>
      <c r="I24" s="447" t="s">
        <v>3083</v>
      </c>
      <c r="J24" s="448"/>
      <c r="K24" s="2604"/>
      <c r="L24" s="1142"/>
      <c r="M24" s="1133"/>
      <c r="N24" s="1133"/>
      <c r="O24" s="1133"/>
      <c r="P24" s="3205"/>
      <c r="Q24" s="1811"/>
      <c r="R24" s="773"/>
      <c r="S24" s="774"/>
      <c r="T24" s="773"/>
      <c r="U24" s="774"/>
      <c r="V24" s="773"/>
      <c r="W24" s="774"/>
      <c r="X24" s="1814"/>
      <c r="Y24" s="3207"/>
      <c r="Z24" s="1815"/>
      <c r="AA24" s="1812">
        <v>1</v>
      </c>
      <c r="AB24" s="1812">
        <v>1</v>
      </c>
      <c r="AC24" s="1812">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2"/>
      <c r="M25" s="1133"/>
      <c r="N25" s="1133"/>
      <c r="O25" s="1133"/>
      <c r="P25" s="3205"/>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7"/>
      <c r="Z25" s="1815" t="str">
        <f>Q25</f>
        <v>楼层-1</v>
      </c>
      <c r="AA25" s="1812">
        <f t="shared" ref="AA25:AA46" si="15">D25/F25</f>
        <v>1</v>
      </c>
      <c r="AB25" s="1812">
        <f t="shared" ref="AB25:AB46" si="16">D25/H25</f>
        <v>1</v>
      </c>
      <c r="AC25" s="1812">
        <f t="shared" ref="AC25:AC46" si="17">D25/J25</f>
        <v>1</v>
      </c>
    </row>
    <row r="26" spans="1:29" ht="15.75" thickBot="1">
      <c r="A26" s="428"/>
      <c r="B26" s="422" t="s">
        <v>2553</v>
      </c>
      <c r="C26" s="460" t="s">
        <v>3156</v>
      </c>
      <c r="D26" s="435">
        <v>100</v>
      </c>
      <c r="E26" s="2611" t="s">
        <v>3156</v>
      </c>
      <c r="F26" s="435">
        <f>SUMIF(88:88,E26,89:89)-SUMIF(88:88,C26,89:89)+100</f>
        <v>100</v>
      </c>
      <c r="G26" s="2612" t="s">
        <v>3156</v>
      </c>
      <c r="H26" s="435">
        <f>SUMIF(88:88,G26,89:89)-SUMIF(88:88,C26,89:89)+100</f>
        <v>100</v>
      </c>
      <c r="I26" s="2612" t="s">
        <v>3156</v>
      </c>
      <c r="J26" s="435">
        <f>SUMIF(88:88,I26,89:89)-SUMIF(88:88,C26,89:89)+100</f>
        <v>100</v>
      </c>
      <c r="K26" s="426">
        <v>2</v>
      </c>
      <c r="L26" s="1142"/>
      <c r="M26" s="1133"/>
      <c r="N26" s="1133"/>
      <c r="O26" s="1133"/>
      <c r="P26" s="3205"/>
      <c r="Q26" s="1811" t="str">
        <f t="shared" si="11"/>
        <v>朝向</v>
      </c>
      <c r="R26" s="773" t="s">
        <v>21</v>
      </c>
      <c r="S26" s="774">
        <f t="shared" si="12"/>
        <v>100</v>
      </c>
      <c r="T26" s="773" t="s">
        <v>21</v>
      </c>
      <c r="U26" s="774">
        <f t="shared" si="13"/>
        <v>100</v>
      </c>
      <c r="V26" s="773" t="s">
        <v>21</v>
      </c>
      <c r="W26" s="774">
        <f t="shared" si="14"/>
        <v>100</v>
      </c>
      <c r="X26" s="1814"/>
      <c r="Y26" s="3207"/>
      <c r="Z26" s="1815" t="str">
        <f>Q26</f>
        <v>朝向</v>
      </c>
      <c r="AA26" s="1812">
        <f t="shared" si="15"/>
        <v>1</v>
      </c>
      <c r="AB26" s="1812">
        <f t="shared" si="16"/>
        <v>1</v>
      </c>
      <c r="AC26" s="1812">
        <f t="shared" si="17"/>
        <v>1</v>
      </c>
    </row>
    <row r="27" spans="1:29" s="117" customFormat="1" ht="15" hidden="1">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9"/>
      <c r="L27" s="1134"/>
      <c r="M27" s="1135"/>
      <c r="N27" s="1135"/>
      <c r="O27" s="1135"/>
      <c r="P27" s="3205"/>
      <c r="Q27" s="1796">
        <f t="shared" si="11"/>
        <v>111</v>
      </c>
      <c r="R27" s="769" t="s">
        <v>21</v>
      </c>
      <c r="S27" s="770">
        <f t="shared" si="12"/>
        <v>100</v>
      </c>
      <c r="T27" s="769" t="s">
        <v>21</v>
      </c>
      <c r="U27" s="770">
        <f t="shared" si="13"/>
        <v>100</v>
      </c>
      <c r="V27" s="769" t="s">
        <v>21</v>
      </c>
      <c r="W27" s="770">
        <f t="shared" si="14"/>
        <v>100</v>
      </c>
      <c r="X27" s="771"/>
      <c r="Y27" s="3207"/>
      <c r="Z27" s="55">
        <f>Q27</f>
        <v>111</v>
      </c>
      <c r="AA27" s="1812">
        <f t="shared" si="15"/>
        <v>1</v>
      </c>
      <c r="AB27" s="1812">
        <f t="shared" si="16"/>
        <v>1</v>
      </c>
      <c r="AC27" s="1812">
        <f t="shared" si="17"/>
        <v>1</v>
      </c>
    </row>
    <row r="28" spans="1:29" ht="15" hidden="1">
      <c r="A28" s="428"/>
      <c r="B28" s="1388">
        <v>111</v>
      </c>
      <c r="C28" s="434"/>
      <c r="D28" s="435">
        <v>100</v>
      </c>
      <c r="E28" s="434"/>
      <c r="F28" s="435">
        <f>SUMIF(92:92,E28,93:93)-SUMIF(92:92,C28,93:93)+100</f>
        <v>100</v>
      </c>
      <c r="G28" s="2613"/>
      <c r="H28" s="435">
        <f>SUMIF(92:92,G28,93:93)-SUMIF(92:92,C28,93:93)+100</f>
        <v>100</v>
      </c>
      <c r="I28" s="434"/>
      <c r="J28" s="435">
        <f>SUMIF(92:92,I28,93:93)-SUMIF(92:92,C28,93:93)+100</f>
        <v>100</v>
      </c>
      <c r="K28" s="2599"/>
      <c r="L28" s="1142"/>
      <c r="M28" s="1133"/>
      <c r="N28" s="1133"/>
      <c r="O28" s="1133"/>
      <c r="P28" s="3205"/>
      <c r="Q28" s="1811">
        <f t="shared" si="11"/>
        <v>111</v>
      </c>
      <c r="R28" s="773" t="s">
        <v>21</v>
      </c>
      <c r="S28" s="774">
        <f t="shared" si="12"/>
        <v>100</v>
      </c>
      <c r="T28" s="773" t="s">
        <v>21</v>
      </c>
      <c r="U28" s="774">
        <f t="shared" si="13"/>
        <v>100</v>
      </c>
      <c r="V28" s="773" t="s">
        <v>21</v>
      </c>
      <c r="W28" s="774">
        <f t="shared" si="14"/>
        <v>100</v>
      </c>
      <c r="X28" s="1814"/>
      <c r="Y28" s="3207"/>
      <c r="Z28" s="1815">
        <f t="shared" ref="Z28:Z46" si="18">Q28</f>
        <v>111</v>
      </c>
      <c r="AA28" s="1812">
        <f t="shared" si="15"/>
        <v>1</v>
      </c>
      <c r="AB28" s="1812">
        <f t="shared" si="16"/>
        <v>1</v>
      </c>
      <c r="AC28" s="1812">
        <f t="shared" si="17"/>
        <v>1</v>
      </c>
    </row>
    <row r="29" spans="1:29" ht="15" hidden="1">
      <c r="A29" s="428"/>
      <c r="B29" s="1388">
        <v>111</v>
      </c>
      <c r="C29" s="434"/>
      <c r="D29" s="435">
        <v>100</v>
      </c>
      <c r="E29" s="434"/>
      <c r="F29" s="435">
        <f>SUMIF(94:94,E29,95:95)-SUMIF(94:94,C29,95:95)+100</f>
        <v>100</v>
      </c>
      <c r="G29" s="2613"/>
      <c r="H29" s="435">
        <f>SUMIF(94:94,G29,95:95)-SUMIF(94:94,C29,95:95)+100</f>
        <v>100</v>
      </c>
      <c r="I29" s="434"/>
      <c r="J29" s="435">
        <f>SUMIF(94:94,I29,95:95)-SUMIF(94:94,C29,95:95)+100</f>
        <v>100</v>
      </c>
      <c r="K29" s="2599"/>
      <c r="L29" s="1142"/>
      <c r="M29" s="1133"/>
      <c r="N29" s="1133"/>
      <c r="O29" s="1133"/>
      <c r="P29" s="3205"/>
      <c r="Q29" s="1811">
        <f t="shared" si="11"/>
        <v>111</v>
      </c>
      <c r="R29" s="773" t="s">
        <v>21</v>
      </c>
      <c r="S29" s="774">
        <f t="shared" si="12"/>
        <v>100</v>
      </c>
      <c r="T29" s="773" t="s">
        <v>21</v>
      </c>
      <c r="U29" s="774">
        <f t="shared" si="13"/>
        <v>100</v>
      </c>
      <c r="V29" s="773" t="s">
        <v>21</v>
      </c>
      <c r="W29" s="774">
        <f t="shared" si="14"/>
        <v>100</v>
      </c>
      <c r="X29" s="1814"/>
      <c r="Y29" s="3207"/>
      <c r="Z29" s="1815">
        <f t="shared" si="18"/>
        <v>111</v>
      </c>
      <c r="AA29" s="1812">
        <f t="shared" si="15"/>
        <v>1</v>
      </c>
      <c r="AB29" s="1812">
        <f t="shared" si="16"/>
        <v>1</v>
      </c>
      <c r="AC29" s="1812">
        <f t="shared" si="17"/>
        <v>1</v>
      </c>
    </row>
    <row r="30" spans="1:29" ht="15" hidden="1">
      <c r="A30" s="428"/>
      <c r="B30" s="1388">
        <v>111</v>
      </c>
      <c r="C30" s="434"/>
      <c r="D30" s="435">
        <v>100</v>
      </c>
      <c r="E30" s="434"/>
      <c r="F30" s="435">
        <f>SUMIF(96:96,E30,97:97)-SUMIF(96:96,C30,97:97)+100</f>
        <v>100</v>
      </c>
      <c r="G30" s="2613"/>
      <c r="H30" s="435">
        <f>SUMIF(96:96,G30,97:97)-SUMIF(96:96,C30,97:97)+100</f>
        <v>100</v>
      </c>
      <c r="I30" s="434"/>
      <c r="J30" s="435">
        <f>SUMIF(96:96,I30,97:97)-SUMIF(96:96,C30,97:97)+100</f>
        <v>100</v>
      </c>
      <c r="K30" s="2599"/>
      <c r="L30" s="1142"/>
      <c r="M30" s="1133"/>
      <c r="N30" s="1133"/>
      <c r="O30" s="1133"/>
      <c r="P30" s="3205"/>
      <c r="Q30" s="1811">
        <f t="shared" si="11"/>
        <v>111</v>
      </c>
      <c r="R30" s="773" t="s">
        <v>21</v>
      </c>
      <c r="S30" s="774">
        <f t="shared" si="12"/>
        <v>100</v>
      </c>
      <c r="T30" s="773" t="s">
        <v>21</v>
      </c>
      <c r="U30" s="774">
        <f t="shared" si="13"/>
        <v>100</v>
      </c>
      <c r="V30" s="773" t="s">
        <v>21</v>
      </c>
      <c r="W30" s="774">
        <f t="shared" si="14"/>
        <v>100</v>
      </c>
      <c r="X30" s="1814"/>
      <c r="Y30" s="3207"/>
      <c r="Z30" s="1815">
        <f t="shared" si="18"/>
        <v>111</v>
      </c>
      <c r="AA30" s="1812">
        <f t="shared" si="15"/>
        <v>1</v>
      </c>
      <c r="AB30" s="1812">
        <f t="shared" si="16"/>
        <v>1</v>
      </c>
      <c r="AC30" s="1812">
        <f t="shared" si="17"/>
        <v>1</v>
      </c>
    </row>
    <row r="31" spans="1:29" ht="15.75" hidden="1" thickBot="1">
      <c r="A31" s="436"/>
      <c r="B31" s="1388">
        <v>111</v>
      </c>
      <c r="C31" s="437"/>
      <c r="D31" s="438">
        <v>100</v>
      </c>
      <c r="E31" s="437"/>
      <c r="F31" s="438">
        <f>SUMIF(98:98,E31,99:99)-SUMIF(98:98,C31,99:99)+100</f>
        <v>100</v>
      </c>
      <c r="G31" s="2614"/>
      <c r="H31" s="438">
        <f>SUMIF(98:98,G31,99:99)-SUMIF(98:98,C31,99:99)+100</f>
        <v>100</v>
      </c>
      <c r="I31" s="437"/>
      <c r="J31" s="438">
        <f>SUMIF(98:98,I31,99:99)-SUMIF(98:98,C31,99:99)+100</f>
        <v>100</v>
      </c>
      <c r="K31" s="2599"/>
      <c r="L31" s="1142"/>
      <c r="M31" s="1133"/>
      <c r="N31" s="1133"/>
      <c r="O31" s="1133"/>
      <c r="P31" s="3205"/>
      <c r="Q31" s="1811">
        <f t="shared" si="11"/>
        <v>111</v>
      </c>
      <c r="R31" s="773" t="s">
        <v>21</v>
      </c>
      <c r="S31" s="774">
        <f t="shared" si="12"/>
        <v>100</v>
      </c>
      <c r="T31" s="773" t="s">
        <v>21</v>
      </c>
      <c r="U31" s="774">
        <f t="shared" si="13"/>
        <v>100</v>
      </c>
      <c r="V31" s="773" t="s">
        <v>21</v>
      </c>
      <c r="W31" s="774">
        <f t="shared" si="14"/>
        <v>100</v>
      </c>
      <c r="X31" s="1814"/>
      <c r="Y31" s="3207"/>
      <c r="Z31" s="1815">
        <f t="shared" si="18"/>
        <v>111</v>
      </c>
      <c r="AA31" s="1812">
        <f t="shared" si="15"/>
        <v>1</v>
      </c>
      <c r="AB31" s="1812">
        <f t="shared" si="16"/>
        <v>1</v>
      </c>
      <c r="AC31" s="1812">
        <f t="shared" si="17"/>
        <v>1</v>
      </c>
    </row>
    <row r="32" spans="1:29" ht="15">
      <c r="A32" s="440" t="s">
        <v>2554</v>
      </c>
      <c r="B32" s="71" t="s">
        <v>2555</v>
      </c>
      <c r="C32" s="2615" t="s">
        <v>3146</v>
      </c>
      <c r="D32" s="467">
        <v>100</v>
      </c>
      <c r="E32" s="2615" t="s">
        <v>3146</v>
      </c>
      <c r="F32" s="461">
        <f>SUMIF(100:100,E32,101:101)-SUMIF(100:100,C32,101:101)+100</f>
        <v>100</v>
      </c>
      <c r="G32" s="2615" t="s">
        <v>3146</v>
      </c>
      <c r="H32" s="467">
        <f>SUMIF(100:100,G32,101:101)-SUMIF(100:100,C32,101:101)+100</f>
        <v>100</v>
      </c>
      <c r="I32" s="2615" t="s">
        <v>3146</v>
      </c>
      <c r="J32" s="435">
        <f>SUMIF(100:100,I32,101:101)-SUMIF(100:100,C32,101:101)+100</f>
        <v>100</v>
      </c>
      <c r="K32" s="426">
        <v>2</v>
      </c>
      <c r="L32" s="1142"/>
      <c r="M32" s="1133"/>
      <c r="N32" s="1133"/>
      <c r="O32" s="1133"/>
      <c r="P32" s="3208" t="s">
        <v>2556</v>
      </c>
      <c r="Q32" s="1811" t="str">
        <f t="shared" si="11"/>
        <v>建筑类型</v>
      </c>
      <c r="R32" s="773" t="s">
        <v>21</v>
      </c>
      <c r="S32" s="774">
        <f t="shared" si="12"/>
        <v>100</v>
      </c>
      <c r="T32" s="773" t="s">
        <v>21</v>
      </c>
      <c r="U32" s="774">
        <f t="shared" si="13"/>
        <v>100</v>
      </c>
      <c r="V32" s="773" t="s">
        <v>21</v>
      </c>
      <c r="W32" s="774">
        <f t="shared" si="14"/>
        <v>100</v>
      </c>
      <c r="X32" s="1814"/>
      <c r="Y32" s="3211" t="s">
        <v>2556</v>
      </c>
      <c r="Z32" s="1815" t="str">
        <f t="shared" si="18"/>
        <v>建筑类型</v>
      </c>
      <c r="AA32" s="1812">
        <f t="shared" si="15"/>
        <v>1</v>
      </c>
      <c r="AB32" s="1812">
        <f t="shared" si="16"/>
        <v>1</v>
      </c>
      <c r="AC32" s="1812">
        <f t="shared" si="17"/>
        <v>1</v>
      </c>
    </row>
    <row r="33" spans="1:29" s="471" customFormat="1" ht="15">
      <c r="A33" s="468"/>
      <c r="B33" s="422" t="s">
        <v>2557</v>
      </c>
      <c r="C33" s="469">
        <f>'数据-汇总表'!F19</f>
        <v>582.44000000000005</v>
      </c>
      <c r="D33" s="136">
        <v>100</v>
      </c>
      <c r="E33" s="430">
        <v>190</v>
      </c>
      <c r="F33" s="425">
        <f>LOOKUP(E33,103:103,104:104)-LOOKUP(C33,103:103,104:104)+100</f>
        <v>96</v>
      </c>
      <c r="G33" s="429">
        <v>339</v>
      </c>
      <c r="H33" s="136">
        <f>LOOKUP(G33,103:103,104:104)-LOOKUP(C33,103:103,104:104)+100</f>
        <v>98</v>
      </c>
      <c r="I33" s="430">
        <v>539</v>
      </c>
      <c r="J33" s="136">
        <f>LOOKUP(I33,103:103,104:104)-LOOKUP(C33,103:103,104:104)+100</f>
        <v>100</v>
      </c>
      <c r="K33" s="2599"/>
      <c r="L33" s="1140"/>
      <c r="M33" s="1143"/>
      <c r="N33" s="1143"/>
      <c r="O33" s="1143"/>
      <c r="P33" s="3209"/>
      <c r="Q33" s="775" t="str">
        <f t="shared" si="11"/>
        <v>项目建筑规模</v>
      </c>
      <c r="R33" s="776" t="s">
        <v>21</v>
      </c>
      <c r="S33" s="777">
        <f t="shared" si="12"/>
        <v>96</v>
      </c>
      <c r="T33" s="776" t="s">
        <v>21</v>
      </c>
      <c r="U33" s="777">
        <f t="shared" si="13"/>
        <v>98</v>
      </c>
      <c r="V33" s="776" t="s">
        <v>21</v>
      </c>
      <c r="W33" s="777">
        <f t="shared" si="14"/>
        <v>100</v>
      </c>
      <c r="X33" s="778"/>
      <c r="Y33" s="3211"/>
      <c r="Z33" s="779" t="str">
        <f t="shared" si="18"/>
        <v>项目建筑规模</v>
      </c>
      <c r="AA33" s="1812">
        <f t="shared" si="15"/>
        <v>1.0416666666666667</v>
      </c>
      <c r="AB33" s="1812">
        <f t="shared" si="16"/>
        <v>1.0204081632653061</v>
      </c>
      <c r="AC33" s="1812">
        <f t="shared" si="17"/>
        <v>1</v>
      </c>
    </row>
    <row r="34" spans="1:29" ht="15">
      <c r="A34" s="472"/>
      <c r="B34" s="422" t="s">
        <v>2558</v>
      </c>
      <c r="C34" s="2616" t="s">
        <v>3106</v>
      </c>
      <c r="D34" s="435">
        <v>100</v>
      </c>
      <c r="E34" s="2617" t="s">
        <v>3106</v>
      </c>
      <c r="F34" s="461">
        <f>SUMIF(105:105,E34,106:106)-SUMIF(105:105,C34,106:106)+100</f>
        <v>100</v>
      </c>
      <c r="G34" s="2617" t="s">
        <v>3106</v>
      </c>
      <c r="H34" s="435">
        <f>SUMIF(105:105,G34,106:106)-SUMIF(105:105,C34,106:106)+100</f>
        <v>100</v>
      </c>
      <c r="I34" s="2617" t="s">
        <v>3106</v>
      </c>
      <c r="J34" s="435">
        <f>SUMIF(105:105,I34,106:106)-SUMIF(105:105,C34,106:106)+100</f>
        <v>100</v>
      </c>
      <c r="K34" s="426">
        <v>2</v>
      </c>
      <c r="L34" s="1142"/>
      <c r="M34" s="1133"/>
      <c r="N34" s="1133"/>
      <c r="O34" s="1133"/>
      <c r="P34" s="3209"/>
      <c r="Q34" s="1811" t="str">
        <f t="shared" si="11"/>
        <v>建筑结构</v>
      </c>
      <c r="R34" s="773" t="s">
        <v>21</v>
      </c>
      <c r="S34" s="774">
        <f t="shared" si="12"/>
        <v>100</v>
      </c>
      <c r="T34" s="773" t="s">
        <v>21</v>
      </c>
      <c r="U34" s="774">
        <f t="shared" si="13"/>
        <v>100</v>
      </c>
      <c r="V34" s="773" t="s">
        <v>21</v>
      </c>
      <c r="W34" s="774">
        <f t="shared" si="14"/>
        <v>100</v>
      </c>
      <c r="X34" s="1814"/>
      <c r="Y34" s="3211"/>
      <c r="Z34" s="1815" t="str">
        <f t="shared" si="18"/>
        <v>建筑结构</v>
      </c>
      <c r="AA34" s="1812">
        <f t="shared" si="15"/>
        <v>1</v>
      </c>
      <c r="AB34" s="1812">
        <f t="shared" si="16"/>
        <v>1</v>
      </c>
      <c r="AC34" s="1812">
        <f t="shared" si="17"/>
        <v>1</v>
      </c>
    </row>
    <row r="35" spans="1:29" ht="15">
      <c r="A35" s="472"/>
      <c r="B35" s="422" t="s">
        <v>2559</v>
      </c>
      <c r="C35" s="2611" t="s">
        <v>3167</v>
      </c>
      <c r="D35" s="435">
        <v>100</v>
      </c>
      <c r="E35" s="2612" t="s">
        <v>3167</v>
      </c>
      <c r="F35" s="461">
        <f>SUMIF(107:107,E35,108:108)-SUMIF(107:107,C35,108:108)+100</f>
        <v>100</v>
      </c>
      <c r="G35" s="2611" t="s">
        <v>3167</v>
      </c>
      <c r="H35" s="435">
        <f>SUMIF(107:107,G35,108:108)-SUMIF(107:107,C35,108:108)+100</f>
        <v>100</v>
      </c>
      <c r="I35" s="2612" t="s">
        <v>3167</v>
      </c>
      <c r="J35" s="435">
        <f>SUMIF(107:107,I35,108:108)-SUMIF(107:107,C35,108:108)+100</f>
        <v>100</v>
      </c>
      <c r="K35" s="426">
        <v>2</v>
      </c>
      <c r="L35" s="1142"/>
      <c r="M35" s="1133"/>
      <c r="N35" s="1133"/>
      <c r="O35" s="1133"/>
      <c r="P35" s="3209"/>
      <c r="Q35" s="1811" t="str">
        <f t="shared" si="11"/>
        <v>建筑品质</v>
      </c>
      <c r="R35" s="773" t="s">
        <v>21</v>
      </c>
      <c r="S35" s="774">
        <f t="shared" si="12"/>
        <v>100</v>
      </c>
      <c r="T35" s="773" t="s">
        <v>21</v>
      </c>
      <c r="U35" s="774">
        <f t="shared" si="13"/>
        <v>100</v>
      </c>
      <c r="V35" s="773" t="s">
        <v>21</v>
      </c>
      <c r="W35" s="774">
        <f t="shared" si="14"/>
        <v>100</v>
      </c>
      <c r="X35" s="1814"/>
      <c r="Y35" s="3211"/>
      <c r="Z35" s="1815" t="str">
        <f t="shared" si="18"/>
        <v>建筑品质</v>
      </c>
      <c r="AA35" s="1812">
        <f t="shared" si="15"/>
        <v>1</v>
      </c>
      <c r="AB35" s="1812">
        <f t="shared" si="16"/>
        <v>1</v>
      </c>
      <c r="AC35" s="1812">
        <f t="shared" si="17"/>
        <v>1</v>
      </c>
    </row>
    <row r="36" spans="1:29" ht="15">
      <c r="A36" s="472"/>
      <c r="B36" s="422" t="s">
        <v>2560</v>
      </c>
      <c r="C36" s="2611" t="s">
        <v>3141</v>
      </c>
      <c r="D36" s="435">
        <v>100</v>
      </c>
      <c r="E36" s="2612" t="s">
        <v>3141</v>
      </c>
      <c r="F36" s="461">
        <f>SUMIF(109:109,E36,110:110)-SUMIF(109:109,C36,110:110)+100</f>
        <v>100</v>
      </c>
      <c r="G36" s="2611" t="s">
        <v>3141</v>
      </c>
      <c r="H36" s="435">
        <f>SUMIF(109:109,G36,110:110)-SUMIF(109:109,C36,110:110)+100</f>
        <v>100</v>
      </c>
      <c r="I36" s="2612" t="s">
        <v>3141</v>
      </c>
      <c r="J36" s="435">
        <f>SUMIF(109:109,I36,110:110)-SUMIF(109:109,C36,110:110)+100</f>
        <v>100</v>
      </c>
      <c r="K36" s="426">
        <v>0</v>
      </c>
      <c r="L36" s="1142"/>
      <c r="M36" s="1133"/>
      <c r="N36" s="1133"/>
      <c r="O36" s="1133"/>
      <c r="P36" s="3209"/>
      <c r="Q36" s="1811" t="str">
        <f t="shared" si="11"/>
        <v>公共部分装修</v>
      </c>
      <c r="R36" s="773" t="s">
        <v>21</v>
      </c>
      <c r="S36" s="774">
        <f t="shared" si="12"/>
        <v>100</v>
      </c>
      <c r="T36" s="773" t="s">
        <v>21</v>
      </c>
      <c r="U36" s="774">
        <f t="shared" si="13"/>
        <v>100</v>
      </c>
      <c r="V36" s="773" t="s">
        <v>21</v>
      </c>
      <c r="W36" s="774">
        <f t="shared" si="14"/>
        <v>100</v>
      </c>
      <c r="X36" s="1814"/>
      <c r="Y36" s="3211"/>
      <c r="Z36" s="1815" t="str">
        <f t="shared" si="18"/>
        <v>公共部分装修</v>
      </c>
      <c r="AA36" s="1812">
        <f t="shared" si="15"/>
        <v>1</v>
      </c>
      <c r="AB36" s="1812">
        <f t="shared" si="16"/>
        <v>1</v>
      </c>
      <c r="AC36" s="1812">
        <f t="shared" si="17"/>
        <v>1</v>
      </c>
    </row>
    <row r="37" spans="1:29" s="117" customFormat="1" ht="15">
      <c r="A37" s="473"/>
      <c r="B37" s="422" t="s">
        <v>2561</v>
      </c>
      <c r="C37" s="474">
        <f>'数据-取费表'!N6</f>
        <v>0.92</v>
      </c>
      <c r="D37" s="136">
        <v>100</v>
      </c>
      <c r="E37" s="474">
        <v>0.9</v>
      </c>
      <c r="F37" s="425">
        <f>LOOKUP(E37,112:112,113:113)-LOOKUP(C37,112:112,113:113)+100</f>
        <v>100</v>
      </c>
      <c r="G37" s="476">
        <v>0.9</v>
      </c>
      <c r="H37" s="136">
        <f>LOOKUP(G37,112:112,113:113)-LOOKUP(C37,112:112,113:113)+100</f>
        <v>100</v>
      </c>
      <c r="I37" s="475">
        <v>0.9</v>
      </c>
      <c r="J37" s="136">
        <f>LOOKUP(I37,112:112,113:113)-LOOKUP(C37,112:112,113:113)+100</f>
        <v>100</v>
      </c>
      <c r="K37" s="426">
        <v>2</v>
      </c>
      <c r="L37" s="1134"/>
      <c r="M37" s="1135"/>
      <c r="N37" s="1135"/>
      <c r="O37" s="1135"/>
      <c r="P37" s="3209"/>
      <c r="Q37" s="1796" t="str">
        <f t="shared" si="11"/>
        <v>成新度</v>
      </c>
      <c r="R37" s="769" t="s">
        <v>21</v>
      </c>
      <c r="S37" s="770">
        <f t="shared" si="12"/>
        <v>100</v>
      </c>
      <c r="T37" s="769" t="s">
        <v>21</v>
      </c>
      <c r="U37" s="770">
        <f t="shared" si="13"/>
        <v>100</v>
      </c>
      <c r="V37" s="769" t="s">
        <v>21</v>
      </c>
      <c r="W37" s="770">
        <f t="shared" si="14"/>
        <v>100</v>
      </c>
      <c r="X37" s="771"/>
      <c r="Y37" s="3211"/>
      <c r="Z37" s="55" t="str">
        <f t="shared" si="18"/>
        <v>成新度</v>
      </c>
      <c r="AA37" s="772">
        <f t="shared" si="15"/>
        <v>1</v>
      </c>
      <c r="AB37" s="772">
        <f t="shared" si="16"/>
        <v>1</v>
      </c>
      <c r="AC37" s="772">
        <f t="shared" si="17"/>
        <v>1</v>
      </c>
    </row>
    <row r="38" spans="1:29" ht="15">
      <c r="A38" s="472"/>
      <c r="B38" s="422" t="s">
        <v>2562</v>
      </c>
      <c r="C38" s="2611" t="s">
        <v>3174</v>
      </c>
      <c r="D38" s="435">
        <v>100</v>
      </c>
      <c r="E38" s="2612" t="s">
        <v>3174</v>
      </c>
      <c r="F38" s="461">
        <f>SUMIF(114:114,E38,115:115)-SUMIF(114:114,C38,115:115)+100</f>
        <v>100</v>
      </c>
      <c r="G38" s="2611" t="s">
        <v>3174</v>
      </c>
      <c r="H38" s="435">
        <f>SUMIF(114:114,G38,115:115)-SUMIF(114:114,C38,115:115)+100</f>
        <v>100</v>
      </c>
      <c r="I38" s="2612" t="s">
        <v>3174</v>
      </c>
      <c r="J38" s="435">
        <f>SUMIF(114:114,I38,115:115)-SUMIF(114:114,C38,115:115)+100</f>
        <v>100</v>
      </c>
      <c r="K38" s="426">
        <v>2</v>
      </c>
      <c r="L38" s="1142"/>
      <c r="M38" s="1133"/>
      <c r="N38" s="1133"/>
      <c r="O38" s="1133"/>
      <c r="P38" s="3209" t="s">
        <v>2556</v>
      </c>
      <c r="Q38" s="1811" t="str">
        <f t="shared" si="11"/>
        <v>物业管理</v>
      </c>
      <c r="R38" s="773" t="s">
        <v>21</v>
      </c>
      <c r="S38" s="774">
        <f t="shared" si="12"/>
        <v>100</v>
      </c>
      <c r="T38" s="773" t="s">
        <v>21</v>
      </c>
      <c r="U38" s="774">
        <f t="shared" si="13"/>
        <v>100</v>
      </c>
      <c r="V38" s="773" t="s">
        <v>21</v>
      </c>
      <c r="W38" s="774">
        <f t="shared" si="14"/>
        <v>100</v>
      </c>
      <c r="X38" s="1814"/>
      <c r="Y38" s="3211" t="s">
        <v>2556</v>
      </c>
      <c r="Z38" s="1815" t="str">
        <f t="shared" si="18"/>
        <v>物业管理</v>
      </c>
      <c r="AA38" s="1812">
        <f t="shared" si="15"/>
        <v>1</v>
      </c>
      <c r="AB38" s="1812">
        <f t="shared" si="16"/>
        <v>1</v>
      </c>
      <c r="AC38" s="1812">
        <f t="shared" si="17"/>
        <v>1</v>
      </c>
    </row>
    <row r="39" spans="1:29" ht="15" hidden="1">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2"/>
      <c r="M39" s="1133"/>
      <c r="N39" s="1133"/>
      <c r="O39" s="1133"/>
      <c r="P39" s="3209"/>
      <c r="Q39" s="1811" t="str">
        <f t="shared" si="11"/>
        <v>市政基础设施</v>
      </c>
      <c r="R39" s="773" t="s">
        <v>21</v>
      </c>
      <c r="S39" s="774">
        <f t="shared" si="12"/>
        <v>100</v>
      </c>
      <c r="T39" s="773" t="s">
        <v>21</v>
      </c>
      <c r="U39" s="774">
        <f t="shared" si="13"/>
        <v>100</v>
      </c>
      <c r="V39" s="773" t="s">
        <v>21</v>
      </c>
      <c r="W39" s="774">
        <f t="shared" si="14"/>
        <v>100</v>
      </c>
      <c r="X39" s="1814"/>
      <c r="Y39" s="3211"/>
      <c r="Z39" s="1815" t="str">
        <f t="shared" si="18"/>
        <v>市政基础设施</v>
      </c>
      <c r="AA39" s="1812">
        <f t="shared" si="15"/>
        <v>1</v>
      </c>
      <c r="AB39" s="1812">
        <f t="shared" si="16"/>
        <v>1</v>
      </c>
      <c r="AC39" s="1812">
        <f t="shared" si="17"/>
        <v>1</v>
      </c>
    </row>
    <row r="40" spans="1:29" ht="15" hidden="1">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2"/>
      <c r="M40" s="1133"/>
      <c r="N40" s="1133"/>
      <c r="O40" s="1133"/>
      <c r="P40" s="3209"/>
      <c r="Q40" s="1811" t="str">
        <f t="shared" si="11"/>
        <v>房型</v>
      </c>
      <c r="R40" s="773" t="s">
        <v>21</v>
      </c>
      <c r="S40" s="774">
        <f t="shared" si="12"/>
        <v>100</v>
      </c>
      <c r="T40" s="773" t="s">
        <v>21</v>
      </c>
      <c r="U40" s="774">
        <f t="shared" si="13"/>
        <v>100</v>
      </c>
      <c r="V40" s="773" t="s">
        <v>21</v>
      </c>
      <c r="W40" s="774">
        <f t="shared" si="14"/>
        <v>100</v>
      </c>
      <c r="X40" s="1814"/>
      <c r="Y40" s="3211"/>
      <c r="Z40" s="1815" t="str">
        <f t="shared" si="18"/>
        <v>房型</v>
      </c>
      <c r="AA40" s="1812">
        <f t="shared" si="15"/>
        <v>1</v>
      </c>
      <c r="AB40" s="1812">
        <f t="shared" si="16"/>
        <v>1</v>
      </c>
      <c r="AC40" s="1812">
        <f t="shared" si="17"/>
        <v>1</v>
      </c>
    </row>
    <row r="41" spans="1:29" s="471" customFormat="1" ht="28.5" hidden="1">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0"/>
      <c r="M41" s="1143"/>
      <c r="N41" s="1143"/>
      <c r="O41" s="1143"/>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12">
        <f t="shared" si="15"/>
        <v>1</v>
      </c>
      <c r="AB41" s="1812">
        <f t="shared" si="16"/>
        <v>1</v>
      </c>
      <c r="AC41" s="1812">
        <f t="shared" si="17"/>
        <v>1</v>
      </c>
    </row>
    <row r="42" spans="1:29" ht="15">
      <c r="A42" s="472"/>
      <c r="B42" s="422" t="s">
        <v>2566</v>
      </c>
      <c r="C42" s="2611" t="s">
        <v>3141</v>
      </c>
      <c r="D42" s="435">
        <v>100</v>
      </c>
      <c r="E42" s="2612" t="s">
        <v>3141</v>
      </c>
      <c r="F42" s="461">
        <f>SUMIF(122:122,E42,123:123)-SUMIF(122:122,C42,123:123)+100</f>
        <v>100</v>
      </c>
      <c r="G42" s="2611" t="s">
        <v>3141</v>
      </c>
      <c r="H42" s="435">
        <f>SUMIF(122:122,G42,123:123)-SUMIF(122:122,C42,123:123)+100</f>
        <v>100</v>
      </c>
      <c r="I42" s="2612" t="s">
        <v>3141</v>
      </c>
      <c r="J42" s="435">
        <f>SUMIF(122:122,I42,123:123)-SUMIF(122:122,C42,123:123)+100</f>
        <v>100</v>
      </c>
      <c r="K42" s="426">
        <v>3</v>
      </c>
      <c r="L42" s="1142"/>
      <c r="M42" s="1133"/>
      <c r="N42" s="1133"/>
      <c r="O42" s="1133"/>
      <c r="P42" s="3209"/>
      <c r="Q42" s="1811" t="str">
        <f t="shared" si="11"/>
        <v>内部装修</v>
      </c>
      <c r="R42" s="773" t="s">
        <v>21</v>
      </c>
      <c r="S42" s="774">
        <f t="shared" si="12"/>
        <v>100</v>
      </c>
      <c r="T42" s="773" t="s">
        <v>21</v>
      </c>
      <c r="U42" s="774">
        <f t="shared" si="13"/>
        <v>100</v>
      </c>
      <c r="V42" s="773" t="s">
        <v>21</v>
      </c>
      <c r="W42" s="774">
        <f t="shared" si="14"/>
        <v>100</v>
      </c>
      <c r="X42" s="1814"/>
      <c r="Y42" s="3211"/>
      <c r="Z42" s="1815" t="str">
        <f t="shared" si="18"/>
        <v>内部装修</v>
      </c>
      <c r="AA42" s="1812">
        <f t="shared" si="15"/>
        <v>1</v>
      </c>
      <c r="AB42" s="1812">
        <f t="shared" si="16"/>
        <v>1</v>
      </c>
      <c r="AC42" s="1812">
        <f t="shared" si="17"/>
        <v>1</v>
      </c>
    </row>
    <row r="43" spans="1:29" ht="15" hidden="1">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2"/>
      <c r="M43" s="1133"/>
      <c r="N43" s="1133"/>
      <c r="O43" s="1133"/>
      <c r="P43" s="3209"/>
      <c r="Q43" s="1811" t="str">
        <f t="shared" si="11"/>
        <v>内部装修维护情况</v>
      </c>
      <c r="R43" s="773" t="s">
        <v>21</v>
      </c>
      <c r="S43" s="774">
        <f t="shared" si="12"/>
        <v>100</v>
      </c>
      <c r="T43" s="773" t="s">
        <v>21</v>
      </c>
      <c r="U43" s="774">
        <f t="shared" si="13"/>
        <v>100</v>
      </c>
      <c r="V43" s="773" t="s">
        <v>21</v>
      </c>
      <c r="W43" s="774">
        <f t="shared" si="14"/>
        <v>100</v>
      </c>
      <c r="X43" s="1814"/>
      <c r="Y43" s="3211"/>
      <c r="Z43" s="1815" t="str">
        <f t="shared" si="18"/>
        <v>内部装修维护情况</v>
      </c>
      <c r="AA43" s="1812">
        <f t="shared" si="15"/>
        <v>1</v>
      </c>
      <c r="AB43" s="1812">
        <f t="shared" si="16"/>
        <v>1</v>
      </c>
      <c r="AC43" s="1812">
        <f t="shared" si="17"/>
        <v>1</v>
      </c>
    </row>
    <row r="44" spans="1:29" s="117" customFormat="1" ht="15">
      <c r="A44" s="473"/>
      <c r="B44" s="2966" t="s">
        <v>3181</v>
      </c>
      <c r="C44" s="2967" t="s">
        <v>3183</v>
      </c>
      <c r="D44" s="136">
        <v>100</v>
      </c>
      <c r="E44" s="2967" t="s">
        <v>3184</v>
      </c>
      <c r="F44" s="425">
        <f>SUMIF(126:126,E44,127:127)-SUMIF(126:126,C44,127:127)+100</f>
        <v>100</v>
      </c>
      <c r="G44" s="2967" t="s">
        <v>3184</v>
      </c>
      <c r="H44" s="136">
        <f>SUMIF(126:126,G44,127:127)-SUMIF(126:126,C44,127:127)+100</f>
        <v>100</v>
      </c>
      <c r="I44" s="2967" t="s">
        <v>3184</v>
      </c>
      <c r="J44" s="136">
        <f>SUMIF(126:126,I44,127:127)-SUMIF(126:126,C44,127:127)+100</f>
        <v>100</v>
      </c>
      <c r="K44" s="2599"/>
      <c r="L44" s="1134"/>
      <c r="M44" s="1135"/>
      <c r="N44" s="1135"/>
      <c r="O44" s="1135"/>
      <c r="P44" s="3209"/>
      <c r="Q44" s="1796" t="str">
        <f t="shared" si="11"/>
        <v>花园</v>
      </c>
      <c r="R44" s="769" t="s">
        <v>21</v>
      </c>
      <c r="S44" s="770">
        <f t="shared" si="12"/>
        <v>100</v>
      </c>
      <c r="T44" s="769" t="s">
        <v>21</v>
      </c>
      <c r="U44" s="770">
        <f t="shared" si="13"/>
        <v>100</v>
      </c>
      <c r="V44" s="769" t="s">
        <v>21</v>
      </c>
      <c r="W44" s="770">
        <f t="shared" si="14"/>
        <v>100</v>
      </c>
      <c r="X44" s="771"/>
      <c r="Y44" s="3211"/>
      <c r="Z44" s="55" t="str">
        <f t="shared" si="18"/>
        <v>花园</v>
      </c>
      <c r="AA44" s="772">
        <f t="shared" si="15"/>
        <v>1</v>
      </c>
      <c r="AB44" s="772">
        <f t="shared" si="16"/>
        <v>1</v>
      </c>
      <c r="AC44" s="772">
        <f t="shared" si="17"/>
        <v>1</v>
      </c>
    </row>
    <row r="45" spans="1:29" ht="15">
      <c r="A45" s="472"/>
      <c r="B45" s="2966" t="s">
        <v>3182</v>
      </c>
      <c r="C45" s="2956" t="s">
        <v>3185</v>
      </c>
      <c r="D45" s="435">
        <v>100</v>
      </c>
      <c r="E45" s="2956" t="s">
        <v>3184</v>
      </c>
      <c r="F45" s="461">
        <f>SUMIF(128:128,E45,129:129)-SUMIF(128:128,C45,129:129)+100</f>
        <v>100</v>
      </c>
      <c r="G45" s="2956" t="s">
        <v>3186</v>
      </c>
      <c r="H45" s="435">
        <f>SUMIF(128:128,G45,129:129)-SUMIF(128:128,C45,129:129)+100</f>
        <v>100</v>
      </c>
      <c r="I45" s="2956" t="s">
        <v>3184</v>
      </c>
      <c r="J45" s="435">
        <f>SUMIF(128:128,I45,129:129)-SUMIF(128:128,C45,129:129)+100</f>
        <v>100</v>
      </c>
      <c r="K45" s="2599"/>
      <c r="L45" s="1142"/>
      <c r="M45" s="1133"/>
      <c r="N45" s="1133"/>
      <c r="O45" s="1133"/>
      <c r="P45" s="3209"/>
      <c r="Q45" s="1811" t="str">
        <f t="shared" si="11"/>
        <v>电梯</v>
      </c>
      <c r="R45" s="773" t="s">
        <v>21</v>
      </c>
      <c r="S45" s="774">
        <f t="shared" si="12"/>
        <v>100</v>
      </c>
      <c r="T45" s="773" t="s">
        <v>21</v>
      </c>
      <c r="U45" s="774">
        <f t="shared" si="13"/>
        <v>100</v>
      </c>
      <c r="V45" s="773" t="s">
        <v>21</v>
      </c>
      <c r="W45" s="774">
        <f t="shared" si="14"/>
        <v>100</v>
      </c>
      <c r="X45" s="1814"/>
      <c r="Y45" s="3211"/>
      <c r="Z45" s="1815" t="str">
        <f t="shared" si="18"/>
        <v>电梯</v>
      </c>
      <c r="AA45" s="1812">
        <f t="shared" si="15"/>
        <v>1</v>
      </c>
      <c r="AB45" s="1812">
        <f t="shared" si="16"/>
        <v>1</v>
      </c>
      <c r="AC45" s="1812">
        <f t="shared" si="17"/>
        <v>1</v>
      </c>
    </row>
    <row r="46" spans="1:29" ht="15.75" thickBot="1">
      <c r="A46" s="478"/>
      <c r="B46" s="2968" t="s">
        <v>3187</v>
      </c>
      <c r="C46" s="2969" t="s">
        <v>3184</v>
      </c>
      <c r="D46" s="438">
        <v>100</v>
      </c>
      <c r="E46" s="2969" t="s">
        <v>3188</v>
      </c>
      <c r="F46" s="439">
        <f>SUMIF(130:130,E46,131:131)-SUMIF(130:130,C46,131:131)+100</f>
        <v>97</v>
      </c>
      <c r="G46" s="2969" t="s">
        <v>3188</v>
      </c>
      <c r="H46" s="438">
        <f>SUMIF(130:130,G46,131:131)-SUMIF(130:130,C46,131:131)+100</f>
        <v>97</v>
      </c>
      <c r="I46" s="2969" t="s">
        <v>3184</v>
      </c>
      <c r="J46" s="438">
        <f>SUMIF(130:130,I46,131:131)-SUMIF(130:130,C46,131:131)+100</f>
        <v>100</v>
      </c>
      <c r="K46" s="2599"/>
      <c r="L46" s="1142"/>
      <c r="M46" s="1133"/>
      <c r="N46" s="1133"/>
      <c r="O46" s="1133"/>
      <c r="P46" s="3210"/>
      <c r="Q46" s="1811" t="str">
        <f t="shared" si="11"/>
        <v>水系</v>
      </c>
      <c r="R46" s="773" t="s">
        <v>20</v>
      </c>
      <c r="S46" s="774">
        <f t="shared" si="12"/>
        <v>97</v>
      </c>
      <c r="T46" s="773" t="s">
        <v>20</v>
      </c>
      <c r="U46" s="774">
        <f t="shared" si="13"/>
        <v>97</v>
      </c>
      <c r="V46" s="773" t="s">
        <v>20</v>
      </c>
      <c r="W46" s="774">
        <f t="shared" si="14"/>
        <v>100</v>
      </c>
      <c r="X46" s="1814"/>
      <c r="Y46" s="3212"/>
      <c r="Z46" s="1815" t="str">
        <f t="shared" si="18"/>
        <v>水系</v>
      </c>
      <c r="AA46" s="1812">
        <f t="shared" si="15"/>
        <v>1.0309278350515463</v>
      </c>
      <c r="AB46" s="1812">
        <f t="shared" si="16"/>
        <v>1.0309278350515463</v>
      </c>
      <c r="AC46" s="1812">
        <f t="shared" si="17"/>
        <v>1</v>
      </c>
    </row>
    <row r="47" spans="1:29" ht="15">
      <c r="A47" s="479" t="s">
        <v>2568</v>
      </c>
      <c r="B47" s="480"/>
      <c r="C47" s="1409" t="s">
        <v>19</v>
      </c>
      <c r="D47" s="1410"/>
      <c r="E47" s="1411">
        <f>ROUND(18900*0.9,0)</f>
        <v>17010</v>
      </c>
      <c r="F47" s="1412"/>
      <c r="G47" s="1413">
        <f>ROUND(18300*0.9,0)</f>
        <v>16470</v>
      </c>
      <c r="H47" s="1414"/>
      <c r="I47" s="1411">
        <f>ROUND(19600*0.9,0)</f>
        <v>17640</v>
      </c>
      <c r="J47" s="1414"/>
      <c r="K47" s="2618"/>
      <c r="L47" s="1145"/>
      <c r="M47" s="1146"/>
      <c r="N47" s="1133"/>
      <c r="O47" s="1146"/>
      <c r="P47" s="3213" t="str">
        <f>A47</f>
        <v>成交单价（元/平方米）</v>
      </c>
      <c r="Q47" s="3213"/>
      <c r="R47" s="3214">
        <f>E47</f>
        <v>17010</v>
      </c>
      <c r="S47" s="3214"/>
      <c r="T47" s="3214">
        <f>G47</f>
        <v>16470</v>
      </c>
      <c r="U47" s="3214"/>
      <c r="V47" s="3214">
        <f>I47</f>
        <v>17640</v>
      </c>
      <c r="W47" s="3214"/>
      <c r="X47" s="758"/>
      <c r="Y47" s="780"/>
      <c r="Z47" s="758"/>
      <c r="AA47" s="758"/>
      <c r="AB47" s="758"/>
      <c r="AC47" s="758"/>
    </row>
    <row r="48" spans="1:29" ht="15.75" thickBot="1">
      <c r="A48" s="486" t="s">
        <v>2569</v>
      </c>
      <c r="B48" s="487"/>
      <c r="C48" s="1415">
        <f>R49</f>
        <v>17396</v>
      </c>
      <c r="D48" s="1416"/>
      <c r="E48" s="1417">
        <f>R48</f>
        <v>17909</v>
      </c>
      <c r="F48" s="1417"/>
      <c r="G48" s="1415">
        <f>T48</f>
        <v>16986</v>
      </c>
      <c r="H48" s="1416"/>
      <c r="I48" s="1417">
        <f>V48</f>
        <v>17294</v>
      </c>
      <c r="J48" s="1416"/>
      <c r="K48" s="2619"/>
      <c r="L48" s="1145"/>
      <c r="M48" s="1146"/>
      <c r="N48" s="1146"/>
      <c r="O48" s="1146"/>
      <c r="P48" s="3213" t="str">
        <f>A48</f>
        <v>比较价值（元/平方米）</v>
      </c>
      <c r="Q48" s="3213"/>
      <c r="R48" s="3214">
        <f>IF(F1="售价",ROUND(PRODUCT(R47,AA7:AA46),0),ROUND(PRODUCT(R47,AA7:AA46),1))</f>
        <v>17909</v>
      </c>
      <c r="S48" s="3214"/>
      <c r="T48" s="3214">
        <f>IF(F1="售价",ROUND(PRODUCT(T47,AB7:AB46),0),ROUND(PRODUCT(T47,AB7:AB46),1))</f>
        <v>16986</v>
      </c>
      <c r="U48" s="3214"/>
      <c r="V48" s="3214">
        <f>IF(F1="售价",ROUND(PRODUCT(V47,AC7:AC46),0),ROUND(PRODUCT(V47,AC7:AC46),1))</f>
        <v>17294</v>
      </c>
      <c r="W48" s="3214"/>
      <c r="X48" s="758"/>
      <c r="Y48" s="758"/>
      <c r="Z48" s="758"/>
      <c r="AA48" s="758"/>
      <c r="AB48" s="758"/>
      <c r="AC48" s="758"/>
    </row>
    <row r="49" spans="1:29" ht="15.75" thickBot="1">
      <c r="A49" s="492" t="s">
        <v>2570</v>
      </c>
      <c r="B49" s="493"/>
      <c r="C49" s="1418">
        <f>R49</f>
        <v>17396</v>
      </c>
      <c r="D49" s="1419"/>
      <c r="E49" s="1419"/>
      <c r="F49" s="1419"/>
      <c r="G49" s="1419"/>
      <c r="H49" s="1419"/>
      <c r="I49" s="1419"/>
      <c r="J49" s="1419"/>
      <c r="K49" s="2620"/>
      <c r="L49" s="1145"/>
      <c r="M49" s="1146"/>
      <c r="N49" s="1146"/>
      <c r="O49" s="1146"/>
      <c r="P49" s="3215" t="str">
        <f>A49</f>
        <v>估价对象XX用房的比较价值（楼面单价，元/平方米）</v>
      </c>
      <c r="Q49" s="3216"/>
      <c r="R49" s="3217">
        <f>IF(F1="售价",ROUND(AVERAGE(R48:V48),0),ROUND(AVERAGE(R48:V48),1))</f>
        <v>17396</v>
      </c>
      <c r="S49" s="3217"/>
      <c r="T49" s="3217"/>
      <c r="U49" s="3217"/>
      <c r="V49" s="3217"/>
      <c r="W49" s="321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f>IF(E47&lt;E48,E48/E47-1,E47/E48-1)</f>
        <v>5.285126396237505E-2</v>
      </c>
      <c r="F52" s="500" t="str">
        <f>IF(OR(E52&gt;=0.3,E52&lt;=-0.3),"超过30%","")</f>
        <v/>
      </c>
      <c r="G52" s="499">
        <f>IF(G47&lt;G48,G48/G47-1,G47/G48-1)</f>
        <v>3.1329690346083794E-2</v>
      </c>
      <c r="H52" s="500" t="str">
        <f>IF(OR(G52&gt;=0.3,G52&lt;=-0.3),"超过30%","")</f>
        <v/>
      </c>
      <c r="I52" s="499">
        <f>IF(I47&lt;I48,I48/I47-1,I47/I48-1)</f>
        <v>2.0006938822713094E-2</v>
      </c>
      <c r="J52" s="500" t="str">
        <f>IF(OR(I52&gt;=0.3,I52&lt;=-0.3),"超过30%","")</f>
        <v/>
      </c>
      <c r="K52" s="1107"/>
      <c r="L52" s="1108"/>
      <c r="M52" s="1146"/>
      <c r="N52" s="1146"/>
      <c r="O52" s="1146"/>
    </row>
    <row r="53" spans="1:29" ht="13.5" customHeight="1">
      <c r="A53" s="1146"/>
      <c r="B53" s="1146"/>
      <c r="C53" s="497" t="s">
        <v>2572</v>
      </c>
      <c r="D53" s="501"/>
      <c r="E53" s="499">
        <f>IF(E48&lt;G48,G48/E48-1,E48/G48-1)</f>
        <v>5.4338867302484495E-2</v>
      </c>
      <c r="F53" s="500" t="str">
        <f>IF(OR(E53&gt;=0.2,E53&lt;=-0.2),"超过20%","")</f>
        <v/>
      </c>
      <c r="G53" s="499">
        <f>IF(G48&lt;I48,I48/G48-1,G48/I48-1)</f>
        <v>1.8132579771576562E-2</v>
      </c>
      <c r="H53" s="500" t="str">
        <f>IF(OR(G53&gt;=0.2,G53&lt;=-0.2),"超过20%","")</f>
        <v/>
      </c>
      <c r="I53" s="499">
        <f>IF(I48&lt;E48,E48/I48-1,I48/E48-1)</f>
        <v>3.5561466404533393E-2</v>
      </c>
      <c r="J53" s="500" t="str">
        <f>IF(OR(I53&gt;=0.2,I53&lt;=-0.2),"超过20%","")</f>
        <v/>
      </c>
      <c r="K53" s="1107"/>
      <c r="L53" s="1108"/>
      <c r="M53" s="1146"/>
      <c r="N53" s="1146"/>
      <c r="O53" s="1146"/>
    </row>
    <row r="54" spans="1:29" s="502" customFormat="1" ht="13.5" customHeight="1">
      <c r="A54" s="1147"/>
      <c r="B54" s="1147"/>
      <c r="C54" s="497" t="s">
        <v>2573</v>
      </c>
      <c r="D54" s="501"/>
      <c r="E54" s="499">
        <f>IF(E47&lt;G47,G47/E47-1,E47/G47-1)</f>
        <v>3.2786885245901676E-2</v>
      </c>
      <c r="F54" s="500" t="str">
        <f>IF(OR(E54&gt;=0.3,E54&lt;=-0.3),"超过30%","")</f>
        <v/>
      </c>
      <c r="G54" s="499">
        <f>IF(G47&lt;I47,I47/G47-1,G47/I47-1)</f>
        <v>7.1038251366120297E-2</v>
      </c>
      <c r="H54" s="500" t="str">
        <f>IF(OR(G54&gt;=0.3,G54&lt;=-0.3),"超过30%","")</f>
        <v/>
      </c>
      <c r="I54" s="499">
        <f>IF(I47&lt;E47,E47/I47-1,I47/E47-1)</f>
        <v>3.7037037037036979E-2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3"/>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2579</v>
      </c>
      <c r="B63" s="528" t="s">
        <v>2545</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2549</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8"/>
      <c r="Q70" s="559"/>
    </row>
    <row r="71" spans="1:17" s="471" customFormat="1" ht="15.75" hidden="1" thickBot="1">
      <c r="A71" s="553"/>
      <c r="B71" s="543"/>
      <c r="C71" s="560"/>
      <c r="D71" s="536"/>
      <c r="E71" s="536"/>
      <c r="F71" s="536"/>
      <c r="G71" s="536"/>
      <c r="H71" s="536"/>
      <c r="I71" s="536"/>
      <c r="J71" s="536"/>
      <c r="K71" s="536"/>
      <c r="L71" s="536"/>
      <c r="M71" s="537"/>
      <c r="N71" s="1155"/>
      <c r="O71" s="1155"/>
      <c r="P71" s="2628"/>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29"/>
      <c r="Q72" s="561"/>
    </row>
    <row r="73" spans="1:17" s="471" customFormat="1" ht="15.75" hidden="1" thickBot="1">
      <c r="A73" s="553"/>
      <c r="B73" s="543"/>
      <c r="C73" s="560"/>
      <c r="D73" s="560"/>
      <c r="E73" s="560"/>
      <c r="F73" s="560"/>
      <c r="G73" s="560"/>
      <c r="H73" s="562"/>
      <c r="I73" s="562"/>
      <c r="J73" s="562"/>
      <c r="K73" s="562"/>
      <c r="L73" s="562"/>
      <c r="M73" s="563"/>
      <c r="N73" s="1156"/>
      <c r="O73" s="1156"/>
      <c r="P73" s="2628"/>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0"/>
      <c r="Q74" s="559"/>
    </row>
    <row r="75" spans="1:17" s="471" customFormat="1" ht="15.75" hidden="1" thickBot="1">
      <c r="A75" s="568"/>
      <c r="B75" s="569"/>
      <c r="C75" s="570"/>
      <c r="D75" s="570"/>
      <c r="E75" s="570"/>
      <c r="F75" s="570"/>
      <c r="G75" s="570"/>
      <c r="H75" s="571"/>
      <c r="I75" s="571"/>
      <c r="J75" s="571"/>
      <c r="K75" s="571"/>
      <c r="L75" s="571"/>
      <c r="M75" s="572"/>
      <c r="N75" s="1156"/>
      <c r="O75" s="1156"/>
      <c r="P75" s="2628"/>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2601</v>
      </c>
      <c r="C86" s="554">
        <v>1</v>
      </c>
      <c r="D86" s="554">
        <v>2</v>
      </c>
      <c r="E86" s="554">
        <v>3</v>
      </c>
      <c r="F86" s="554">
        <v>4</v>
      </c>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2602</v>
      </c>
      <c r="C88" s="2954" t="s">
        <v>3155</v>
      </c>
      <c r="D88" s="2954" t="s">
        <v>3157</v>
      </c>
      <c r="E88" s="2954" t="s">
        <v>3158</v>
      </c>
      <c r="F88" s="2955" t="s">
        <v>3159</v>
      </c>
      <c r="G88" s="2954" t="s">
        <v>3160</v>
      </c>
      <c r="H88" s="2954" t="s">
        <v>3161</v>
      </c>
      <c r="I88" s="554"/>
      <c r="J88" s="554"/>
      <c r="K88" s="554"/>
      <c r="L88" s="554"/>
      <c r="M88" s="581"/>
      <c r="N88" s="1153"/>
      <c r="O88" s="1153"/>
      <c r="P88" s="2627"/>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5"/>
      <c r="O89" s="1155"/>
      <c r="P89" s="2627"/>
      <c r="Q89" s="504"/>
    </row>
    <row r="90" spans="1:17" s="471" customFormat="1" ht="15.75" hidden="1" thickTop="1">
      <c r="A90" s="553"/>
      <c r="B90" s="538">
        <f>B27</f>
        <v>111</v>
      </c>
      <c r="C90" s="554"/>
      <c r="D90" s="554"/>
      <c r="E90" s="554"/>
      <c r="F90" s="554"/>
      <c r="G90" s="554"/>
      <c r="H90" s="555"/>
      <c r="I90" s="555"/>
      <c r="J90" s="555"/>
      <c r="K90" s="555"/>
      <c r="L90" s="556"/>
      <c r="M90" s="557"/>
      <c r="N90" s="1156"/>
      <c r="O90" s="1156"/>
      <c r="P90" s="2628"/>
      <c r="Q90" s="559"/>
    </row>
    <row r="91" spans="1:17" s="471" customFormat="1" ht="15.75" hidden="1" thickBot="1">
      <c r="A91" s="553"/>
      <c r="B91" s="543"/>
      <c r="C91" s="560"/>
      <c r="D91" s="560"/>
      <c r="E91" s="560"/>
      <c r="F91" s="560"/>
      <c r="G91" s="560"/>
      <c r="H91" s="562"/>
      <c r="I91" s="562"/>
      <c r="J91" s="562"/>
      <c r="K91" s="562"/>
      <c r="L91" s="562"/>
      <c r="M91" s="563"/>
      <c r="N91" s="1156"/>
      <c r="O91" s="1156"/>
      <c r="P91" s="2628"/>
      <c r="Q91" s="559"/>
    </row>
    <row r="92" spans="1:17" ht="15.75" hidden="1" thickTop="1">
      <c r="A92" s="534"/>
      <c r="B92" s="538">
        <f>B28</f>
        <v>111</v>
      </c>
      <c r="C92" s="554"/>
      <c r="D92" s="554"/>
      <c r="E92" s="554"/>
      <c r="F92" s="554"/>
      <c r="G92" s="583"/>
      <c r="H92" s="583"/>
      <c r="I92" s="583"/>
      <c r="J92" s="583"/>
      <c r="K92" s="584"/>
      <c r="L92" s="585"/>
      <c r="M92" s="586"/>
      <c r="N92" s="1154"/>
      <c r="O92" s="1154"/>
      <c r="P92" s="2627"/>
      <c r="Q92" s="504"/>
    </row>
    <row r="93" spans="1:17" ht="15.75" hidden="1" thickBot="1">
      <c r="A93" s="534"/>
      <c r="B93" s="543"/>
      <c r="C93" s="560"/>
      <c r="D93" s="536"/>
      <c r="E93" s="536"/>
      <c r="F93" s="536"/>
      <c r="G93" s="536"/>
      <c r="H93" s="536"/>
      <c r="I93" s="536"/>
      <c r="J93" s="536"/>
      <c r="K93" s="536"/>
      <c r="L93" s="536"/>
      <c r="M93" s="537"/>
      <c r="N93" s="1155"/>
      <c r="O93" s="1155"/>
      <c r="P93" s="2627"/>
      <c r="Q93" s="504"/>
    </row>
    <row r="94" spans="1:17" ht="15.75" hidden="1" thickTop="1">
      <c r="A94" s="534"/>
      <c r="B94" s="538">
        <f>B29</f>
        <v>111</v>
      </c>
      <c r="C94" s="554"/>
      <c r="D94" s="554"/>
      <c r="E94" s="554"/>
      <c r="F94" s="554"/>
      <c r="G94" s="583"/>
      <c r="H94" s="583"/>
      <c r="I94" s="583"/>
      <c r="J94" s="583"/>
      <c r="K94" s="584"/>
      <c r="L94" s="585"/>
      <c r="M94" s="586"/>
      <c r="N94" s="1154"/>
      <c r="O94" s="1154"/>
      <c r="P94" s="2627"/>
      <c r="Q94" s="504"/>
    </row>
    <row r="95" spans="1:17" ht="15.75" hidden="1" thickBot="1">
      <c r="A95" s="534"/>
      <c r="B95" s="543"/>
      <c r="C95" s="560"/>
      <c r="D95" s="560"/>
      <c r="E95" s="560"/>
      <c r="F95" s="560"/>
      <c r="G95" s="536"/>
      <c r="H95" s="536"/>
      <c r="I95" s="536"/>
      <c r="J95" s="536"/>
      <c r="K95" s="536"/>
      <c r="L95" s="536"/>
      <c r="M95" s="537"/>
      <c r="N95" s="1155"/>
      <c r="O95" s="1155"/>
      <c r="P95" s="2627"/>
      <c r="Q95" s="504"/>
    </row>
    <row r="96" spans="1:17" ht="15.75" hidden="1" thickTop="1">
      <c r="A96" s="534"/>
      <c r="B96" s="538">
        <f>B30</f>
        <v>111</v>
      </c>
      <c r="C96" s="554"/>
      <c r="D96" s="554"/>
      <c r="E96" s="554"/>
      <c r="F96" s="554"/>
      <c r="G96" s="583"/>
      <c r="H96" s="583"/>
      <c r="I96" s="583"/>
      <c r="J96" s="583"/>
      <c r="K96" s="584"/>
      <c r="L96" s="585"/>
      <c r="M96" s="586"/>
      <c r="N96" s="1154"/>
      <c r="O96" s="1154"/>
      <c r="P96" s="2627"/>
      <c r="Q96" s="504"/>
    </row>
    <row r="97" spans="1:17" ht="15.75" hidden="1" thickBot="1">
      <c r="A97" s="534"/>
      <c r="B97" s="543"/>
      <c r="C97" s="570"/>
      <c r="D97" s="570"/>
      <c r="E97" s="570"/>
      <c r="F97" s="570"/>
      <c r="G97" s="536"/>
      <c r="H97" s="536"/>
      <c r="I97" s="536"/>
      <c r="J97" s="536"/>
      <c r="K97" s="536"/>
      <c r="L97" s="536"/>
      <c r="M97" s="537"/>
      <c r="N97" s="1155"/>
      <c r="O97" s="1155"/>
      <c r="P97" s="2627"/>
      <c r="Q97" s="504"/>
    </row>
    <row r="98" spans="1:17" ht="15.75" hidden="1" thickTop="1">
      <c r="A98" s="534"/>
      <c r="B98" s="546">
        <f>B31</f>
        <v>111</v>
      </c>
      <c r="C98" s="587"/>
      <c r="D98" s="587"/>
      <c r="E98" s="587"/>
      <c r="F98" s="587"/>
      <c r="G98" s="587"/>
      <c r="H98" s="587"/>
      <c r="I98" s="587"/>
      <c r="J98" s="587"/>
      <c r="K98" s="588"/>
      <c r="L98" s="589"/>
      <c r="M98" s="590"/>
      <c r="N98" s="1154"/>
      <c r="O98" s="1154"/>
      <c r="P98" s="2627"/>
      <c r="Q98" s="504"/>
    </row>
    <row r="99" spans="1:17" ht="15.75" hidden="1" thickBot="1">
      <c r="A99" s="2633"/>
      <c r="B99" s="569"/>
      <c r="C99" s="591"/>
      <c r="D99" s="591"/>
      <c r="E99" s="591"/>
      <c r="F99" s="591"/>
      <c r="G99" s="591"/>
      <c r="H99" s="591"/>
      <c r="I99" s="591"/>
      <c r="J99" s="591"/>
      <c r="K99" s="591"/>
      <c r="L99" s="591"/>
      <c r="M99" s="592"/>
      <c r="N99" s="1155"/>
      <c r="O99" s="1155"/>
      <c r="P99" s="2627"/>
      <c r="Q99" s="504"/>
    </row>
    <row r="100" spans="1:17" ht="15" thickTop="1">
      <c r="A100" s="527" t="s">
        <v>2554</v>
      </c>
      <c r="B100" s="528" t="s">
        <v>2603</v>
      </c>
      <c r="C100" s="2957" t="s">
        <v>3162</v>
      </c>
      <c r="D100" s="2957" t="s">
        <v>3163</v>
      </c>
      <c r="E100" s="2957" t="s">
        <v>3164</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15.75" thickTop="1">
      <c r="A102" s="534"/>
      <c r="B102" s="538" t="s">
        <v>2604</v>
      </c>
      <c r="C102" s="578" t="str">
        <f>C103&amp;"(含)"&amp;"-"&amp;D103</f>
        <v>0(含)-200</v>
      </c>
      <c r="D102" s="578" t="str">
        <f t="shared" ref="D102:L102" si="27">D103&amp;"(含)"&amp;"-"&amp;E103</f>
        <v>200(含)-400</v>
      </c>
      <c r="E102" s="578" t="str">
        <f t="shared" si="27"/>
        <v>400(含)-600</v>
      </c>
      <c r="F102" s="578" t="str">
        <f t="shared" si="27"/>
        <v>600(含)-800</v>
      </c>
      <c r="G102" s="578" t="str">
        <f t="shared" si="27"/>
        <v>800(含)-1000</v>
      </c>
      <c r="H102" s="578" t="str">
        <f t="shared" si="27"/>
        <v>1000(含)-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200</v>
      </c>
      <c r="E103" s="595">
        <v>400</v>
      </c>
      <c r="F103" s="595">
        <v>600</v>
      </c>
      <c r="G103" s="595">
        <v>800</v>
      </c>
      <c r="H103" s="595">
        <v>1000</v>
      </c>
      <c r="I103" s="595"/>
      <c r="J103" s="596"/>
      <c r="K103" s="596"/>
      <c r="L103" s="597"/>
      <c r="M103" s="598"/>
      <c r="N103" s="1156"/>
      <c r="O103" s="1156"/>
      <c r="P103" s="2628"/>
      <c r="Q103" s="559"/>
    </row>
    <row r="104" spans="1:17" s="471" customFormat="1" ht="15.75" thickBot="1">
      <c r="A104" s="553"/>
      <c r="B104" s="543"/>
      <c r="C104" s="560">
        <v>96</v>
      </c>
      <c r="D104" s="536">
        <v>98</v>
      </c>
      <c r="E104" s="536">
        <v>100</v>
      </c>
      <c r="F104" s="536">
        <v>98</v>
      </c>
      <c r="G104" s="536">
        <v>96</v>
      </c>
      <c r="H104" s="536">
        <v>94</v>
      </c>
      <c r="I104" s="536"/>
      <c r="J104" s="536"/>
      <c r="K104" s="536"/>
      <c r="L104" s="536"/>
      <c r="M104" s="536"/>
      <c r="N104" s="1155"/>
      <c r="O104" s="1155"/>
      <c r="P104" s="2628"/>
      <c r="Q104" s="559"/>
    </row>
    <row r="105" spans="1:17" ht="15" thickTop="1">
      <c r="A105" s="599"/>
      <c r="B105" s="538" t="s">
        <v>2605</v>
      </c>
      <c r="C105" s="2954" t="s">
        <v>3165</v>
      </c>
      <c r="D105" s="2954" t="s">
        <v>3166</v>
      </c>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2606</v>
      </c>
      <c r="C107" s="2958" t="s">
        <v>3168</v>
      </c>
      <c r="D107" s="2958" t="s">
        <v>3169</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2607</v>
      </c>
      <c r="C109" s="2954" t="s">
        <v>3170</v>
      </c>
      <c r="D109" s="2954" t="s">
        <v>3171</v>
      </c>
      <c r="E109" s="2954" t="s">
        <v>3172</v>
      </c>
      <c r="F109" s="2958" t="s">
        <v>3173</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2608</v>
      </c>
      <c r="C114" s="2954" t="s">
        <v>3175</v>
      </c>
      <c r="D114" s="2954" t="s">
        <v>3176</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hidden="1" thickTop="1">
      <c r="A116" s="599"/>
      <c r="B116" s="538" t="s">
        <v>2609</v>
      </c>
      <c r="C116" s="554"/>
      <c r="D116" s="554"/>
      <c r="E116" s="554"/>
      <c r="F116" s="554"/>
      <c r="G116" s="554"/>
      <c r="H116" s="583"/>
      <c r="I116" s="583"/>
      <c r="J116" s="583"/>
      <c r="K116" s="584"/>
      <c r="L116" s="585"/>
      <c r="M116" s="586"/>
      <c r="N116" s="1154"/>
      <c r="O116" s="1154"/>
      <c r="P116" s="2627"/>
      <c r="Q116" s="504"/>
    </row>
    <row r="117" spans="1:17" ht="15.75" hidden="1"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hidden="1" thickTop="1">
      <c r="A118" s="599"/>
      <c r="B118" s="538" t="s">
        <v>2610</v>
      </c>
      <c r="C118" s="583"/>
      <c r="D118" s="583"/>
      <c r="E118" s="583"/>
      <c r="F118" s="583"/>
      <c r="G118" s="583"/>
      <c r="H118" s="583"/>
      <c r="I118" s="583"/>
      <c r="J118" s="583"/>
      <c r="K118" s="584"/>
      <c r="L118" s="585"/>
      <c r="M118" s="586"/>
      <c r="N118" s="1154"/>
      <c r="O118" s="1154"/>
      <c r="P118" s="2627"/>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hidden="1" thickTop="1">
      <c r="A120" s="593"/>
      <c r="B120" s="538" t="s">
        <v>2565</v>
      </c>
      <c r="C120" s="554"/>
      <c r="D120" s="554"/>
      <c r="E120" s="554"/>
      <c r="F120" s="554"/>
      <c r="G120" s="554"/>
      <c r="H120" s="554"/>
      <c r="I120" s="554"/>
      <c r="J120" s="554"/>
      <c r="K120" s="554"/>
      <c r="L120" s="580"/>
      <c r="M120" s="581"/>
      <c r="N120" s="1156"/>
      <c r="O120" s="1156"/>
      <c r="P120" s="2628"/>
      <c r="Q120" s="559"/>
    </row>
    <row r="121" spans="1:17" s="471" customFormat="1" ht="15.75" hidden="1"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2611</v>
      </c>
      <c r="C122" s="2954" t="s">
        <v>3170</v>
      </c>
      <c r="D122" s="2954" t="s">
        <v>3171</v>
      </c>
      <c r="E122" s="2954" t="s">
        <v>3172</v>
      </c>
      <c r="F122" s="2958" t="s">
        <v>3173</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5"/>
      <c r="O123" s="1155"/>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t="str">
        <f>B44</f>
        <v>花园</v>
      </c>
      <c r="C126" s="2954" t="s">
        <v>3184</v>
      </c>
      <c r="D126" s="2954" t="s">
        <v>3188</v>
      </c>
      <c r="E126" s="554"/>
      <c r="F126" s="554"/>
      <c r="G126" s="554"/>
      <c r="H126" s="555"/>
      <c r="I126" s="555"/>
      <c r="J126" s="555"/>
      <c r="K126" s="555"/>
      <c r="L126" s="556"/>
      <c r="M126" s="557"/>
      <c r="N126" s="1156"/>
      <c r="O126" s="1156"/>
      <c r="P126" s="2628"/>
      <c r="Q126" s="559"/>
    </row>
    <row r="127" spans="1:17" s="471" customFormat="1" ht="15.75" thickBot="1">
      <c r="A127" s="553"/>
      <c r="B127" s="543"/>
      <c r="C127" s="560">
        <v>100</v>
      </c>
      <c r="D127" s="536">
        <v>97</v>
      </c>
      <c r="E127" s="536"/>
      <c r="F127" s="536"/>
      <c r="G127" s="560"/>
      <c r="H127" s="562"/>
      <c r="I127" s="562"/>
      <c r="J127" s="562"/>
      <c r="K127" s="562"/>
      <c r="L127" s="562"/>
      <c r="M127" s="563"/>
      <c r="N127" s="1156"/>
      <c r="O127" s="1156"/>
      <c r="P127" s="2628"/>
      <c r="Q127" s="559"/>
    </row>
    <row r="128" spans="1:17" ht="15" thickTop="1">
      <c r="A128" s="599"/>
      <c r="B128" s="538" t="str">
        <f>B45</f>
        <v>电梯</v>
      </c>
      <c r="C128" s="2954" t="s">
        <v>3184</v>
      </c>
      <c r="D128" s="2954" t="s">
        <v>3188</v>
      </c>
      <c r="E128" s="554"/>
      <c r="F128" s="554"/>
      <c r="G128" s="583"/>
      <c r="H128" s="583"/>
      <c r="I128" s="583"/>
      <c r="J128" s="583"/>
      <c r="K128" s="584"/>
      <c r="L128" s="585"/>
      <c r="M128" s="586"/>
      <c r="N128" s="1154"/>
      <c r="O128" s="1154"/>
      <c r="P128" s="2627"/>
      <c r="Q128" s="504"/>
    </row>
    <row r="129" spans="1:17" ht="15.75" thickBot="1">
      <c r="A129" s="534"/>
      <c r="B129" s="543"/>
      <c r="C129" s="560">
        <v>100</v>
      </c>
      <c r="D129" s="560">
        <v>97</v>
      </c>
      <c r="E129" s="560"/>
      <c r="F129" s="560"/>
      <c r="G129" s="536"/>
      <c r="H129" s="536"/>
      <c r="I129" s="536"/>
      <c r="J129" s="536"/>
      <c r="K129" s="536"/>
      <c r="L129" s="536"/>
      <c r="M129" s="537"/>
      <c r="N129" s="1155"/>
      <c r="O129" s="1155"/>
      <c r="P129" s="2627"/>
      <c r="Q129" s="504"/>
    </row>
    <row r="130" spans="1:17" ht="15" thickTop="1">
      <c r="A130" s="599"/>
      <c r="B130" s="546" t="str">
        <f>B46</f>
        <v>水系</v>
      </c>
      <c r="C130" s="2954" t="s">
        <v>3184</v>
      </c>
      <c r="D130" s="2954" t="s">
        <v>3188</v>
      </c>
      <c r="E130" s="554"/>
      <c r="F130" s="554"/>
      <c r="G130" s="587"/>
      <c r="H130" s="587"/>
      <c r="I130" s="587"/>
      <c r="J130" s="587"/>
      <c r="K130" s="523"/>
      <c r="L130" s="524"/>
      <c r="M130" s="590"/>
      <c r="N130" s="1154"/>
      <c r="O130" s="1154"/>
      <c r="P130" s="2627"/>
      <c r="Q130" s="504"/>
    </row>
    <row r="131" spans="1:17" ht="15.75" thickBot="1">
      <c r="A131" s="2633"/>
      <c r="B131" s="569"/>
      <c r="C131" s="570">
        <v>100</v>
      </c>
      <c r="D131" s="570">
        <v>97</v>
      </c>
      <c r="E131" s="570"/>
      <c r="F131" s="570"/>
      <c r="G131" s="591"/>
      <c r="H131" s="591"/>
      <c r="I131" s="591"/>
      <c r="J131" s="591"/>
      <c r="K131" s="591"/>
      <c r="L131" s="591"/>
      <c r="M131" s="592"/>
      <c r="N131" s="1155"/>
      <c r="O131" s="1155"/>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6">
        <v>6</v>
      </c>
      <c r="C139" s="1087">
        <v>96</v>
      </c>
      <c r="D139" s="2645" t="s">
        <v>2622</v>
      </c>
      <c r="E139" s="1088">
        <v>100</v>
      </c>
      <c r="F139" s="1089">
        <v>102.5</v>
      </c>
      <c r="G139" s="2645" t="s">
        <v>2622</v>
      </c>
      <c r="H139" s="1090">
        <v>105</v>
      </c>
      <c r="I139" s="2646" t="s">
        <v>2623</v>
      </c>
      <c r="J139" s="1087">
        <v>20</v>
      </c>
      <c r="K139" s="1091">
        <f>C145/(J139-2)</f>
        <v>4.0555555555555553E-3</v>
      </c>
    </row>
    <row r="140" spans="1:17" ht="15">
      <c r="B140" s="1092">
        <v>5</v>
      </c>
      <c r="C140" s="1093">
        <v>100</v>
      </c>
      <c r="D140" s="1093"/>
      <c r="E140" s="1094"/>
      <c r="F140" s="1095">
        <v>102</v>
      </c>
      <c r="G140" s="1093"/>
      <c r="H140" s="1096"/>
      <c r="I140" s="2647" t="s">
        <v>2624</v>
      </c>
      <c r="J140" s="315">
        <f>ROUNDUP((J139-1)/2,0)</f>
        <v>10</v>
      </c>
      <c r="K140" s="1097">
        <v>100</v>
      </c>
    </row>
    <row r="141" spans="1:17" ht="15">
      <c r="B141" s="1092">
        <v>4</v>
      </c>
      <c r="C141" s="1093">
        <v>102</v>
      </c>
      <c r="D141" s="1093"/>
      <c r="E141" s="1094"/>
      <c r="F141" s="1095">
        <v>101.5</v>
      </c>
      <c r="G141" s="1093"/>
      <c r="H141" s="1096"/>
      <c r="I141" s="2647" t="s">
        <v>2625</v>
      </c>
      <c r="J141" s="315">
        <v>1</v>
      </c>
      <c r="K141" s="1098">
        <f>ROUND(100+(J141-J140)*K139*100,1)</f>
        <v>96.4</v>
      </c>
    </row>
    <row r="142" spans="1:17" ht="15">
      <c r="B142" s="1092">
        <v>3</v>
      </c>
      <c r="C142" s="1093">
        <v>103</v>
      </c>
      <c r="D142" s="1093"/>
      <c r="E142" s="1094"/>
      <c r="F142" s="1095">
        <v>101</v>
      </c>
      <c r="G142" s="1093"/>
      <c r="H142" s="1096"/>
      <c r="I142" s="2647" t="s">
        <v>2626</v>
      </c>
      <c r="J142" s="315">
        <f>J139</f>
        <v>20</v>
      </c>
      <c r="K142" s="1099">
        <v>95</v>
      </c>
    </row>
    <row r="143" spans="1:17" ht="15">
      <c r="B143" s="1092">
        <v>2</v>
      </c>
      <c r="C143" s="1093">
        <v>100</v>
      </c>
      <c r="D143" s="1093"/>
      <c r="E143" s="1094"/>
      <c r="F143" s="1095">
        <v>100.5</v>
      </c>
      <c r="G143" s="1093"/>
      <c r="H143" s="1096"/>
      <c r="I143" s="2647" t="s">
        <v>2627</v>
      </c>
      <c r="J143" s="1093">
        <v>15</v>
      </c>
      <c r="K143" s="1098">
        <f>ROUND(100+(J143-J140)*K139*100,1)</f>
        <v>102</v>
      </c>
    </row>
    <row r="144" spans="1:17" ht="15">
      <c r="B144" s="1092">
        <v>1</v>
      </c>
      <c r="C144" s="1093">
        <v>98</v>
      </c>
      <c r="D144" s="2648" t="s">
        <v>2628</v>
      </c>
      <c r="E144" s="1094">
        <v>102</v>
      </c>
      <c r="F144" s="1100">
        <v>100</v>
      </c>
      <c r="G144" s="2648" t="s">
        <v>2628</v>
      </c>
      <c r="H144" s="1096">
        <v>105</v>
      </c>
      <c r="I144" s="2647" t="s">
        <v>2627</v>
      </c>
      <c r="J144" s="1093">
        <v>18</v>
      </c>
      <c r="K144" s="1098">
        <f>ROUND(100+(J144-J140)*K139*100,1)</f>
        <v>103.2</v>
      </c>
    </row>
    <row r="145" spans="2:11" ht="15.75" thickBot="1">
      <c r="B145" s="2649" t="s">
        <v>2629</v>
      </c>
      <c r="C145" s="1101">
        <f>ROUND(MAX(C139:C144)/MIN(C139:C144)-1,3)</f>
        <v>7.2999999999999995E-2</v>
      </c>
      <c r="D145" s="1102"/>
      <c r="E145" s="1102"/>
      <c r="F145" s="2650" t="s">
        <v>2630</v>
      </c>
      <c r="G145" s="2651"/>
      <c r="H145" s="2652"/>
      <c r="I145" s="2653" t="s">
        <v>2627</v>
      </c>
      <c r="J145" s="1103">
        <v>8</v>
      </c>
      <c r="K145" s="1104">
        <f>ROUND(100+(J145-J140)*K139*100,1)</f>
        <v>99.2</v>
      </c>
    </row>
    <row r="147" spans="2:11">
      <c r="B147" s="2634" t="s">
        <v>2631</v>
      </c>
    </row>
    <row r="148" spans="2:11">
      <c r="B148" s="263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3" sqref="D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3143</v>
      </c>
      <c r="D1" s="1821" t="s">
        <v>70</v>
      </c>
      <c r="E1" s="1822" t="s">
        <v>1387</v>
      </c>
      <c r="F1" s="1285" t="e">
        <f ca="1">J53</f>
        <v>#N/A</v>
      </c>
      <c r="G1" s="183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#N/A</v>
      </c>
      <c r="C2" s="1846" t="s">
        <v>1591</v>
      </c>
      <c r="D2" s="1939" t="e">
        <f ca="1">C40+J29+L46</f>
        <v>#N/A</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t="e">
        <f ca="1">C6+C10+C12</f>
        <v>#N/A</v>
      </c>
      <c r="D5" s="1823" t="s">
        <v>1601</v>
      </c>
      <c r="E5" s="1295"/>
      <c r="F5" s="1296"/>
      <c r="G5" s="1852"/>
      <c r="H5" s="344">
        <v>1</v>
      </c>
      <c r="I5" s="345" t="s">
        <v>1600</v>
      </c>
      <c r="J5" s="1294" t="e">
        <f ca="1">J6+J10+J12</f>
        <v>#N/A</v>
      </c>
      <c r="K5" s="1823" t="s">
        <v>1601</v>
      </c>
      <c r="L5" s="1295"/>
      <c r="M5" s="1296"/>
    </row>
    <row r="6" spans="1:37" ht="18" customHeight="1">
      <c r="A6" s="1293" t="s">
        <v>1035</v>
      </c>
      <c r="B6" s="3246" t="s">
        <v>1403</v>
      </c>
      <c r="C6" s="1298" t="e">
        <f ca="1">ROUND(F6*F8*F7*(1-F9),0)</f>
        <v>#N/A</v>
      </c>
      <c r="D6" s="164" t="s">
        <v>3018</v>
      </c>
      <c r="E6" s="347" t="s">
        <v>1405</v>
      </c>
      <c r="F6" s="348" t="e">
        <f ca="1">INDIRECT("'数据-取费表'!u"&amp;$G$1)</f>
        <v>#N/A</v>
      </c>
      <c r="G6" s="1852"/>
      <c r="H6" s="1293" t="s">
        <v>1035</v>
      </c>
      <c r="I6" s="3246" t="s">
        <v>1403</v>
      </c>
      <c r="J6" s="346" t="e">
        <f ca="1">ROUND(M6*M8*M7*(1-M9),0)</f>
        <v>#N/A</v>
      </c>
      <c r="K6" s="1835" t="s">
        <v>3019</v>
      </c>
      <c r="L6" s="347" t="s">
        <v>1405</v>
      </c>
      <c r="M6" s="348" t="e">
        <f ca="1">INDIRECT("'数据-取费表'!z"&amp;$G$1)</f>
        <v>#N/A</v>
      </c>
    </row>
    <row r="7" spans="1:37" ht="18" customHeight="1">
      <c r="A7" s="1297"/>
      <c r="B7" s="3247"/>
      <c r="C7" s="1299"/>
      <c r="D7" s="352"/>
      <c r="E7" s="1300" t="s">
        <v>1406</v>
      </c>
      <c r="F7" s="348" t="e">
        <f ca="1">IF(INDIRECT("'数据-取费表'!ah"&amp;$G$1)="",INDIRECT("'数据-取费表'!k"&amp;$G$1),INDIRECT("'数据-取费表'!ah"&amp;$G$1))</f>
        <v>#N/A</v>
      </c>
      <c r="G7" s="1852"/>
      <c r="H7" s="349"/>
      <c r="I7" s="3247"/>
      <c r="J7" s="351"/>
      <c r="K7" s="352"/>
      <c r="L7" s="347" t="s">
        <v>1406</v>
      </c>
      <c r="M7" s="348" t="e">
        <f ca="1">F7</f>
        <v>#N/A</v>
      </c>
    </row>
    <row r="8" spans="1:37" ht="18" customHeight="1">
      <c r="A8" s="349"/>
      <c r="B8" s="3247"/>
      <c r="C8" s="351"/>
      <c r="D8" s="352"/>
      <c r="E8" s="347" t="s">
        <v>1407</v>
      </c>
      <c r="F8" s="348" t="e">
        <f ca="1">INDIRECT("'数据-取费表'!ai"&amp;$G$1)</f>
        <v>#N/A</v>
      </c>
      <c r="G8" s="1852"/>
      <c r="H8" s="349"/>
      <c r="I8" s="3247"/>
      <c r="J8" s="351"/>
      <c r="K8" s="352"/>
      <c r="L8" s="347" t="s">
        <v>1407</v>
      </c>
      <c r="M8" s="348" t="e">
        <f ca="1">INDIRECT("'数据-取费表'!ai"&amp;$G$1)</f>
        <v>#N/A</v>
      </c>
    </row>
    <row r="9" spans="1:37" ht="18" customHeight="1">
      <c r="A9" s="349"/>
      <c r="B9" s="3248"/>
      <c r="C9" s="351"/>
      <c r="D9" s="352"/>
      <c r="E9" s="347" t="s">
        <v>1408</v>
      </c>
      <c r="F9" s="357" t="e">
        <f ca="1">INDIRECT("'数据-取费表'!w"&amp;$G$1)</f>
        <v>#N/A</v>
      </c>
      <c r="G9" s="1852"/>
      <c r="H9" s="349"/>
      <c r="I9" s="3248"/>
      <c r="J9" s="351"/>
      <c r="K9" s="352"/>
      <c r="L9" s="358" t="s">
        <v>1408</v>
      </c>
      <c r="M9" s="359" t="e">
        <f ca="1">INDIRECT("'数据-取费表'!ab"&amp;$G$1)</f>
        <v>#N/A</v>
      </c>
    </row>
    <row r="10" spans="1:37" ht="18" customHeight="1">
      <c r="A10" s="1293" t="s">
        <v>1039</v>
      </c>
      <c r="B10" s="1824" t="s">
        <v>1409</v>
      </c>
      <c r="C10" s="361" t="e">
        <f ca="1">ROUND(IF(F10="押一",C6/12*F11,IF(F10="押二",C6/12*2*F11,IF(F10="押三",C6/12*3*F11,C11*F11))),0)</f>
        <v>#N/A</v>
      </c>
      <c r="D10" s="1825" t="s">
        <v>3029</v>
      </c>
      <c r="E10" s="358" t="s">
        <v>1410</v>
      </c>
      <c r="F10" s="1368" t="s">
        <v>3121</v>
      </c>
      <c r="G10" s="1852"/>
      <c r="H10" s="1293" t="s">
        <v>1039</v>
      </c>
      <c r="I10" s="1824" t="s">
        <v>1409</v>
      </c>
      <c r="J10" s="346">
        <f ca="1">ROUND(IF(M10="押一",J6/12*M11,IF(M10="押二",J6/12*2*M11,IF(M10="押三",J6/12*3*M11,J11*M11))),0)</f>
        <v>0</v>
      </c>
      <c r="K10" s="1836" t="s">
        <v>3031</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2"/>
      <c r="H13" s="1331">
        <v>2</v>
      </c>
      <c r="I13" s="1332" t="s">
        <v>1414</v>
      </c>
      <c r="J13" s="1292" t="e">
        <f ca="1">ROUND(J14*J15,0)</f>
        <v>#N/A</v>
      </c>
      <c r="K13" s="1339" t="s">
        <v>1415</v>
      </c>
      <c r="L13" s="1853"/>
      <c r="M13" s="1854"/>
    </row>
    <row r="14" spans="1:37" ht="18" customHeight="1">
      <c r="A14" s="1203" t="s">
        <v>1034</v>
      </c>
      <c r="B14" s="347" t="s">
        <v>1417</v>
      </c>
      <c r="C14" s="363" t="e">
        <f ca="1">ROUND(INDIRECT("'数据-取费表'!l"&amp;$G$1)*F43+'数据-取费表'!L14*INDIRECT("'数据-取费表'!S"&amp;$G$1),0)</f>
        <v>#N/A</v>
      </c>
      <c r="D14" s="1801" t="s">
        <v>1418</v>
      </c>
      <c r="E14" s="1795"/>
      <c r="F14" s="364"/>
      <c r="G14" s="1852"/>
      <c r="H14" s="1203" t="s">
        <v>1035</v>
      </c>
      <c r="I14" s="347" t="s">
        <v>1419</v>
      </c>
      <c r="J14" s="24" t="e">
        <f ca="1">C29</f>
        <v>#N/A</v>
      </c>
      <c r="K14" s="15"/>
      <c r="L14" s="981"/>
      <c r="M14" s="982"/>
    </row>
    <row r="15" spans="1:37" s="1859" customFormat="1" ht="18" customHeight="1" thickBot="1">
      <c r="A15" s="1203" t="s">
        <v>1036</v>
      </c>
      <c r="B15" s="347" t="s">
        <v>1420</v>
      </c>
      <c r="C15" s="24" t="e">
        <f ca="1">ROUND(C14*F15,0)</f>
        <v>#N/A</v>
      </c>
      <c r="D15" s="365" t="s">
        <v>1421</v>
      </c>
      <c r="E15" s="365" t="s">
        <v>1422</v>
      </c>
      <c r="F15" s="366">
        <f>'数据-取费表'!B33</f>
        <v>0.05</v>
      </c>
      <c r="G15" s="1855"/>
      <c r="H15" s="1341" t="s">
        <v>1039</v>
      </c>
      <c r="I15" s="1342" t="s">
        <v>1416</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t="e">
        <f ca="1">ROUND(INDIRECT("'数据-取费表'!l"&amp;$G$1)*F43*F16,0)</f>
        <v>#N/A</v>
      </c>
      <c r="D16" s="347" t="s">
        <v>1421</v>
      </c>
      <c r="E16" s="347" t="s">
        <v>1422</v>
      </c>
      <c r="F16" s="367" t="e">
        <f ca="1">IF(INDIRECT("'数据-取费表'!c"&amp;$G$1)="住宅",'数据-取费表'!B34,0)</f>
        <v>#N/A</v>
      </c>
      <c r="G16" s="1852"/>
      <c r="H16" s="1331" t="s">
        <v>1030</v>
      </c>
      <c r="I16" s="1332" t="s">
        <v>1424</v>
      </c>
      <c r="J16" s="355" t="e">
        <f ca="1">ROUND(J17+J22+J23+J24,0)</f>
        <v>#N/A</v>
      </c>
      <c r="K16" s="1339" t="s">
        <v>1425</v>
      </c>
      <c r="L16" s="1340"/>
      <c r="M16" s="1296"/>
    </row>
    <row r="17" spans="1:37" s="1859" customFormat="1" ht="18" customHeight="1">
      <c r="A17" s="1203" t="s">
        <v>1390</v>
      </c>
      <c r="B17" s="347" t="s">
        <v>1426</v>
      </c>
      <c r="C17" s="24" t="e">
        <f ca="1">ROUND(F17*(F43+INDIRECT("'数据-取费表'!S"&amp;$G$1)),0)</f>
        <v>#N/A</v>
      </c>
      <c r="D17" s="347" t="s">
        <v>1427</v>
      </c>
      <c r="E17" s="347" t="s">
        <v>1428</v>
      </c>
      <c r="F17" s="26">
        <f>'数据-取费表'!B35</f>
        <v>200</v>
      </c>
      <c r="G17" s="1855"/>
      <c r="H17" s="1203" t="s">
        <v>1035</v>
      </c>
      <c r="I17" s="347" t="s">
        <v>1429</v>
      </c>
      <c r="J17" s="24" t="e">
        <f ca="1">ROUND(IF(项目基本情况!B11="自然人",J5*M17,J18+J19+J20),0)</f>
        <v>#N/A</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t="e">
        <f ca="1">ROUND(C14*F18,0)</f>
        <v>#N/A</v>
      </c>
      <c r="D18" s="347" t="s">
        <v>1421</v>
      </c>
      <c r="E18" s="347" t="s">
        <v>1422</v>
      </c>
      <c r="F18" s="367">
        <f>'数据-取费表'!B36</f>
        <v>1.4999999999999999E-2</v>
      </c>
      <c r="G18" s="1855"/>
      <c r="H18" s="1203" t="s">
        <v>1034</v>
      </c>
      <c r="I18" s="347" t="s">
        <v>1433</v>
      </c>
      <c r="J18" s="24" t="e">
        <f ca="1">ROUND(J5*M18/(1+'数据-取费表'!C42),0)</f>
        <v>#N/A</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t="e">
        <f ca="1">SUM(C14:C18)</f>
        <v>#N/A</v>
      </c>
      <c r="D19" s="140" t="s">
        <v>1436</v>
      </c>
      <c r="E19" s="1819"/>
      <c r="F19" s="26"/>
      <c r="G19" s="1852"/>
      <c r="H19" s="1203" t="s">
        <v>1036</v>
      </c>
      <c r="I19" s="347" t="s">
        <v>1437</v>
      </c>
      <c r="J19" s="24" t="e">
        <f ca="1">IF(K19="按租金收入计税",ROUND(J5*M19,0),ROUND(C29*M19*0.7,0))</f>
        <v>#N/A</v>
      </c>
      <c r="K19" s="1829" t="s">
        <v>1438</v>
      </c>
      <c r="L19" s="347" t="s">
        <v>1422</v>
      </c>
      <c r="M19" s="367">
        <f>IF(K19="按租金收入计税",'数据-取费表'!B51,'数据-取费表'!B50)</f>
        <v>1.2E-2</v>
      </c>
    </row>
    <row r="20" spans="1:37" s="1859" customFormat="1" ht="18" customHeight="1">
      <c r="A20" s="1203" t="s">
        <v>1039</v>
      </c>
      <c r="B20" s="347" t="s">
        <v>1439</v>
      </c>
      <c r="C20" s="24" t="e">
        <f ca="1">ROUND(C19*F20,0)</f>
        <v>#N/A</v>
      </c>
      <c r="D20" s="369" t="s">
        <v>1440</v>
      </c>
      <c r="E20" s="347" t="s">
        <v>1422</v>
      </c>
      <c r="F20" s="367">
        <f>'数据-取费表'!B37</f>
        <v>0.02</v>
      </c>
      <c r="G20" s="1855"/>
      <c r="H20" s="1203" t="s">
        <v>1389</v>
      </c>
      <c r="I20" s="164" t="s">
        <v>1441</v>
      </c>
      <c r="J20" s="25" t="e">
        <f ca="1">ROUND(M20*M21,0)</f>
        <v>#N/A</v>
      </c>
      <c r="K20" s="370" t="s">
        <v>1442</v>
      </c>
      <c r="L20" s="347" t="s">
        <v>1443</v>
      </c>
      <c r="M20" s="371">
        <f>'数据-取费表'!B52</f>
        <v>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0.02</v>
      </c>
      <c r="G21" s="1855"/>
      <c r="H21" s="372"/>
      <c r="I21" s="356"/>
      <c r="J21" s="29"/>
      <c r="K21" s="373"/>
      <c r="L21" s="347" t="s">
        <v>1447</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19"/>
      <c r="F22" s="26"/>
      <c r="G22" s="1852"/>
      <c r="H22" s="1203" t="s">
        <v>1039</v>
      </c>
      <c r="I22" s="347" t="s">
        <v>1449</v>
      </c>
      <c r="J22" s="24" t="e">
        <f ca="1">ROUND(J14*M22,0)</f>
        <v>#N/A</v>
      </c>
      <c r="K22" s="1799" t="s">
        <v>1450</v>
      </c>
      <c r="L22" s="347" t="s">
        <v>1422</v>
      </c>
      <c r="M22" s="374" t="e">
        <f ca="1">INDIRECT("'数据-取费表'!Ak"&amp;$G$1)</f>
        <v>#N/A</v>
      </c>
    </row>
    <row r="23" spans="1:37" s="1859"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5"/>
      <c r="H23" s="1203" t="s">
        <v>1075</v>
      </c>
      <c r="I23" s="347" t="s">
        <v>1453</v>
      </c>
      <c r="J23" s="24" t="e">
        <f ca="1">ROUND(J13*M23,0)</f>
        <v>#N/A</v>
      </c>
      <c r="K23" s="1799" t="s">
        <v>1454</v>
      </c>
      <c r="L23" s="347" t="s">
        <v>1455</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5"/>
      <c r="H24" s="1341" t="s">
        <v>1393</v>
      </c>
      <c r="I24" s="1342" t="s">
        <v>1439</v>
      </c>
      <c r="J24" s="1343" t="e">
        <f ca="1">ROUND(J5*M24,0)</f>
        <v>#N/A</v>
      </c>
      <c r="K24" s="1344" t="s">
        <v>1459</v>
      </c>
      <c r="L24" s="1342" t="s">
        <v>1455</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t="e">
        <f ca="1">J5-J16</f>
        <v>#N/A</v>
      </c>
      <c r="K25" s="1347" t="s">
        <v>1464</v>
      </c>
      <c r="L25" s="1348"/>
      <c r="M25" s="1349"/>
    </row>
    <row r="26" spans="1:37" ht="18" customHeight="1">
      <c r="A26" s="1203" t="s">
        <v>1034</v>
      </c>
      <c r="B26" s="347" t="s">
        <v>1465</v>
      </c>
      <c r="C26" s="24" t="e">
        <f ca="1">ROUND((C19+C20)*F26,0)</f>
        <v>#N/A</v>
      </c>
      <c r="D26" s="369" t="s">
        <v>1466</v>
      </c>
      <c r="E26" s="358" t="s">
        <v>1467</v>
      </c>
      <c r="F26" s="357" t="e">
        <f ca="1">INDIRECT("'数据-取费表'!q"&amp;$G$1)</f>
        <v>#N/A</v>
      </c>
      <c r="G26" s="1852"/>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2"/>
      <c r="H27" s="349"/>
      <c r="I27" s="350"/>
      <c r="J27" s="351"/>
      <c r="K27" s="378" t="s">
        <v>1473</v>
      </c>
      <c r="L27" s="347" t="s">
        <v>1474</v>
      </c>
      <c r="M27" s="379" t="e">
        <f ca="1">INDIRECT("'数据-取费表'!ag"&amp;$G$1)</f>
        <v>#N/A</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t="e">
        <f ca="1">ROUND((C19+C20+C23+C26)/(1-F21-C24-C27-C28),0)</f>
        <v>#N/A</v>
      </c>
      <c r="D29" s="1344"/>
      <c r="E29" s="1342"/>
      <c r="F29" s="1345"/>
      <c r="G29" s="1855"/>
      <c r="H29" s="380" t="s">
        <v>1033</v>
      </c>
      <c r="I29" s="381" t="s">
        <v>1479</v>
      </c>
      <c r="J29" s="382" t="e">
        <f ca="1">ROUND(J26/(1+F40)^F41,0)</f>
        <v>#N/A</v>
      </c>
      <c r="K29" s="383" t="s">
        <v>1480</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t="e">
        <f ca="1">ROUND(C31+C36+C37+C38,0)</f>
        <v>#N/A</v>
      </c>
      <c r="D30" s="1339" t="s">
        <v>1425</v>
      </c>
      <c r="E30" s="1340"/>
      <c r="F30" s="1296"/>
      <c r="G30" s="1852"/>
      <c r="H30" s="744"/>
      <c r="I30" s="745"/>
      <c r="J30" s="746"/>
      <c r="K30" s="747"/>
      <c r="L30" s="748"/>
      <c r="M30" s="749"/>
    </row>
    <row r="31" spans="1:37" ht="18" customHeight="1">
      <c r="A31" s="1203" t="s">
        <v>1035</v>
      </c>
      <c r="B31" s="347" t="s">
        <v>1429</v>
      </c>
      <c r="C31" s="24" t="e">
        <f ca="1">ROUND(IF(项目基本情况!B11="自然人",C5*F31,C32+C33+C34),0)</f>
        <v>#N/A</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t="e">
        <f ca="1">IF(项目基本情况!B11="自然人","——",ROUND(C5*F32/(1+'数据-取费表'!C42),0))</f>
        <v>#N/A</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t="e">
        <f ca="1">IF(项目基本情况!B11="自然人","——",IF(D33="按租金收入计税",ROUND(C5*F33,0),IF(D33="按房产原值计税",ROUND(C29*F33*0.7,0),INDIRECT("'数据-取费表'!Aj"&amp;$G$1))))</f>
        <v>#N/A</v>
      </c>
      <c r="D33" s="1829" t="s">
        <v>3145</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t="e">
        <f ca="1">IF(项目基本情况!B11="自然人","——",ROUND(F34*F35,))</f>
        <v>#N/A</v>
      </c>
      <c r="D34" s="370" t="s">
        <v>1442</v>
      </c>
      <c r="E34" s="347" t="s">
        <v>1443</v>
      </c>
      <c r="F34" s="371">
        <f>'数据-取费表'!B52</f>
        <v>4</v>
      </c>
      <c r="G34" s="1852"/>
      <c r="H34" s="744"/>
      <c r="I34" s="1861"/>
      <c r="J34" s="1862"/>
      <c r="K34" s="1864"/>
      <c r="L34" s="1865"/>
      <c r="M34" s="1865"/>
    </row>
    <row r="35" spans="1:18" ht="18" customHeight="1">
      <c r="A35" s="1355"/>
      <c r="B35" s="1353"/>
      <c r="C35" s="29"/>
      <c r="D35" s="373"/>
      <c r="E35" s="347" t="s">
        <v>1447</v>
      </c>
      <c r="F35" s="348" t="e">
        <f ca="1">INDIRECT("'数据-取费表'!r"&amp;$G$1)</f>
        <v>#N/A</v>
      </c>
      <c r="G35" s="1852"/>
      <c r="H35" s="744"/>
      <c r="I35" s="1861"/>
      <c r="J35" s="1862"/>
      <c r="K35" s="1863"/>
      <c r="L35" s="1860"/>
      <c r="M35" s="1860"/>
    </row>
    <row r="36" spans="1:18" ht="18" customHeight="1">
      <c r="A36" s="1354" t="s">
        <v>1039</v>
      </c>
      <c r="B36" s="347" t="s">
        <v>1449</v>
      </c>
      <c r="C36" s="24" t="e">
        <f ca="1">ROUND(C29*F36,0)</f>
        <v>#N/A</v>
      </c>
      <c r="D36" s="1799" t="s">
        <v>1482</v>
      </c>
      <c r="E36" s="347" t="s">
        <v>1422</v>
      </c>
      <c r="F36" s="374" t="e">
        <f ca="1">INDIRECT("'数据-取费表'!Ak"&amp;$G$1)</f>
        <v>#N/A</v>
      </c>
      <c r="G36" s="1852"/>
      <c r="H36" s="1860"/>
      <c r="I36" s="1861"/>
      <c r="J36" s="1862"/>
      <c r="K36" s="750"/>
      <c r="L36" s="1860"/>
      <c r="M36" s="1860"/>
    </row>
    <row r="37" spans="1:18" ht="18" customHeight="1">
      <c r="A37" s="1203" t="s">
        <v>1075</v>
      </c>
      <c r="B37" s="347" t="s">
        <v>1453</v>
      </c>
      <c r="C37" s="24" t="e">
        <f ca="1">ROUND(C13*F37,0)</f>
        <v>#N/A</v>
      </c>
      <c r="D37" s="1799" t="s">
        <v>1454</v>
      </c>
      <c r="E37" s="347" t="s">
        <v>1455</v>
      </c>
      <c r="F37" s="376" t="e">
        <f ca="1">INDIRECT("'数据-取费表'!Al"&amp;$G$1)</f>
        <v>#N/A</v>
      </c>
      <c r="G37" s="1852"/>
      <c r="H37" s="1860"/>
      <c r="I37" s="1861"/>
      <c r="J37" s="1862"/>
      <c r="K37" s="750"/>
      <c r="L37" s="1860"/>
      <c r="M37" s="1860"/>
    </row>
    <row r="38" spans="1:18" ht="18" customHeight="1" thickBot="1">
      <c r="A38" s="1341" t="s">
        <v>1393</v>
      </c>
      <c r="B38" s="1342" t="s">
        <v>1439</v>
      </c>
      <c r="C38" s="1343" t="e">
        <f ca="1">ROUND(C5*F38,1)</f>
        <v>#N/A</v>
      </c>
      <c r="D38" s="1344" t="s">
        <v>1459</v>
      </c>
      <c r="E38" s="1342" t="s">
        <v>1455</v>
      </c>
      <c r="F38" s="1338" t="e">
        <f ca="1">INDIRECT("'数据-取费表'!Am"&amp;$G$1)</f>
        <v>#N/A</v>
      </c>
      <c r="G38" s="1852"/>
      <c r="H38" s="1860"/>
      <c r="I38" s="1861"/>
      <c r="J38" s="1862"/>
      <c r="K38" s="1866"/>
      <c r="L38" s="1860"/>
      <c r="M38" s="1860"/>
    </row>
    <row r="39" spans="1:18" ht="24.6" customHeight="1" thickTop="1">
      <c r="A39" s="1331" t="s">
        <v>1031</v>
      </c>
      <c r="B39" s="1346" t="s">
        <v>1483</v>
      </c>
      <c r="C39" s="355" t="e">
        <f ca="1">C5-C30</f>
        <v>#N/A</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#N/A</v>
      </c>
      <c r="D40" s="370" t="s">
        <v>1469</v>
      </c>
      <c r="E40" s="347" t="s">
        <v>1470</v>
      </c>
      <c r="F40" s="357" t="e">
        <f ca="1">INDIRECT("'数据-取费表'!I"&amp;$G$1)</f>
        <v>#N/A</v>
      </c>
      <c r="G40" s="1852"/>
      <c r="H40" s="1840"/>
      <c r="I40" s="1861"/>
      <c r="J40" s="1862"/>
      <c r="K40" s="1866"/>
      <c r="L40" s="1840"/>
      <c r="M40" s="1840"/>
    </row>
    <row r="41" spans="1:18" ht="18" customHeight="1">
      <c r="A41" s="349"/>
      <c r="B41" s="350"/>
      <c r="C41" s="351"/>
      <c r="D41" s="378" t="s">
        <v>1486</v>
      </c>
      <c r="E41" s="347" t="s">
        <v>1474</v>
      </c>
      <c r="F41" s="379" t="e">
        <f ca="1">IF(INDIRECT("'数据-取费表'!af"&amp;$G$1)=0,INDIRECT("'数据-取费表'!ae"&amp;$G$1),INDIRECT("'数据-取费表'!af"&amp;$G$1))</f>
        <v>#N/A</v>
      </c>
      <c r="G41" s="1852"/>
      <c r="H41" s="731"/>
      <c r="I41" s="1861"/>
      <c r="J41" s="1862"/>
      <c r="K41" s="750"/>
      <c r="L41" s="731"/>
      <c r="M41" s="731"/>
    </row>
    <row r="42" spans="1:18" ht="18" customHeight="1">
      <c r="A42" s="353"/>
      <c r="B42" s="354"/>
      <c r="C42" s="355"/>
      <c r="D42" s="373"/>
      <c r="E42" s="347" t="s">
        <v>1477</v>
      </c>
      <c r="F42" s="357" t="e">
        <f ca="1">INDIRECT("'数据-取费表'!v"&amp;$G$1)</f>
        <v>#N/A</v>
      </c>
      <c r="G42" s="1852"/>
      <c r="H42" s="731"/>
      <c r="I42" s="1861"/>
      <c r="J42" s="1862"/>
      <c r="K42" s="750"/>
      <c r="L42" s="731"/>
      <c r="M42" s="731"/>
    </row>
    <row r="43" spans="1:18" ht="18" customHeight="1" thickBot="1">
      <c r="A43" s="380" t="s">
        <v>1033</v>
      </c>
      <c r="B43" s="381" t="s">
        <v>1487</v>
      </c>
      <c r="C43" s="382" t="e">
        <f ca="1">ROUND(C40/F43,0)</f>
        <v>#N/A</v>
      </c>
      <c r="D43" s="383" t="s">
        <v>1488</v>
      </c>
      <c r="E43" s="384" t="s">
        <v>1489</v>
      </c>
      <c r="F43" s="385"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#N/A</v>
      </c>
      <c r="D45" s="1941" t="s">
        <v>1604</v>
      </c>
      <c r="E45" s="1867"/>
      <c r="F45" s="1867"/>
      <c r="O45" s="1870" t="s">
        <v>1519</v>
      </c>
      <c r="P45" s="1840"/>
      <c r="Q45" s="1840"/>
      <c r="R45" s="1840"/>
    </row>
    <row r="46" spans="1:18" s="1843" customFormat="1" ht="13.5" thickBot="1">
      <c r="A46" s="1871" t="s">
        <v>1520</v>
      </c>
      <c r="C46" s="1872" t="e">
        <f ca="1">ROUND(C45/10000,0)</f>
        <v>#N/A</v>
      </c>
      <c r="D46" s="1873" t="str">
        <f>C2</f>
        <v>万元</v>
      </c>
      <c r="I46" s="1874" t="s">
        <v>1521</v>
      </c>
      <c r="J46" s="1875"/>
      <c r="K46" s="1876"/>
      <c r="L46" s="1877">
        <f>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3106</v>
      </c>
      <c r="K47" s="1883" t="s">
        <v>1527</v>
      </c>
      <c r="L47" s="1884" t="e">
        <f ca="1">INDIRECT("'数据-取费表'!d"&amp;$G$1)</f>
        <v>#N/A</v>
      </c>
      <c r="M47" s="1839" t="str">
        <f>IF(ISNUMBER(FIND("住宅",C1)),"住宅","非住宅")</f>
        <v>住宅</v>
      </c>
      <c r="O47" s="1885" t="s">
        <v>1040</v>
      </c>
      <c r="P47" s="1886" t="s">
        <v>1528</v>
      </c>
      <c r="Q47" s="1887" t="e">
        <f ca="1">C40+J29</f>
        <v>#N/A</v>
      </c>
      <c r="R47" s="1887" t="s">
        <v>1529</v>
      </c>
    </row>
    <row r="48" spans="1:18" s="1843" customFormat="1" ht="28.5" thickBot="1">
      <c r="A48" s="1362" t="s">
        <v>1135</v>
      </c>
      <c r="B48" s="345" t="s">
        <v>1401</v>
      </c>
      <c r="C48" s="1818" t="e">
        <f ca="1">C49+C53+C55</f>
        <v>#N/A</v>
      </c>
      <c r="D48" s="1364"/>
      <c r="E48" s="1365"/>
      <c r="F48" s="1183"/>
      <c r="G48" s="791"/>
      <c r="H48" s="792"/>
      <c r="I48" s="1888" t="s">
        <v>1530</v>
      </c>
      <c r="J48" s="1889" t="s">
        <v>3122</v>
      </c>
      <c r="K48" s="1890" t="s">
        <v>1531</v>
      </c>
      <c r="L48" s="1891" t="e">
        <f ca="1">INDIRECT("'数据-取费表'!f"&amp;$G$1)</f>
        <v>#N/A</v>
      </c>
      <c r="O48" s="1885" t="s">
        <v>1041</v>
      </c>
      <c r="P48" s="1886" t="s">
        <v>1532</v>
      </c>
      <c r="Q48" s="1887" t="e">
        <f ca="1">J60</f>
        <v>#N/A</v>
      </c>
      <c r="R48" s="1887" t="s">
        <v>1533</v>
      </c>
    </row>
    <row r="49" spans="1:18" s="1843" customFormat="1" ht="13.5" thickBot="1">
      <c r="A49" s="1196" t="s">
        <v>1136</v>
      </c>
      <c r="B49" s="1830" t="s">
        <v>1490</v>
      </c>
      <c r="C49" s="1366" t="e">
        <f ca="1">ROUND(F49*F51*F50*(1-F52),0)</f>
        <v>#N/A</v>
      </c>
      <c r="D49" s="1278" t="s">
        <v>1404</v>
      </c>
      <c r="E49" s="1831" t="s">
        <v>1491</v>
      </c>
      <c r="F49" s="1283"/>
      <c r="G49" s="1892"/>
      <c r="H49" s="792"/>
      <c r="I49" s="1888" t="s">
        <v>1534</v>
      </c>
      <c r="J49" s="1893">
        <v>2013</v>
      </c>
      <c r="K49" s="1890" t="s">
        <v>1535</v>
      </c>
      <c r="L49" s="1894"/>
      <c r="O49" s="1895" t="s">
        <v>1042</v>
      </c>
      <c r="P49" s="1886" t="s">
        <v>1536</v>
      </c>
      <c r="Q49" s="1887" t="e">
        <f ca="1">C29</f>
        <v>#N/A</v>
      </c>
      <c r="R49" s="1887" t="s">
        <v>1529</v>
      </c>
    </row>
    <row r="50" spans="1:18" s="1843" customFormat="1" ht="13.5" thickBot="1">
      <c r="A50" s="1197"/>
      <c r="B50" s="1200"/>
      <c r="C50" s="1201"/>
      <c r="D50" s="1174"/>
      <c r="E50" s="1279" t="s">
        <v>1406</v>
      </c>
      <c r="F50" s="1280" t="e">
        <f ca="1">F7</f>
        <v>#N/A</v>
      </c>
      <c r="H50" s="792"/>
      <c r="I50" s="1888" t="s">
        <v>1537</v>
      </c>
      <c r="J50" s="1896">
        <f>SUMPRODUCT((I63:I65=J47)*(J62:L62=J48)*(J63:L65))</f>
        <v>60</v>
      </c>
      <c r="K50" s="1890" t="s">
        <v>1538</v>
      </c>
      <c r="L50" s="1894"/>
      <c r="M50" s="1897"/>
      <c r="O50" s="1895" t="s">
        <v>1043</v>
      </c>
      <c r="P50" s="1886" t="s">
        <v>1539</v>
      </c>
      <c r="Q50" s="1898" t="e">
        <f ca="1">J58</f>
        <v>#N/A</v>
      </c>
      <c r="R50" s="1887"/>
    </row>
    <row r="51" spans="1:18" s="1843" customFormat="1" ht="13.5" thickBot="1">
      <c r="A51" s="1198"/>
      <c r="B51" s="1200"/>
      <c r="C51" s="1201"/>
      <c r="D51" s="1174"/>
      <c r="E51" s="1202" t="s">
        <v>1407</v>
      </c>
      <c r="F51" s="348" t="e">
        <f ca="1">F8</f>
        <v>#N/A</v>
      </c>
      <c r="I51" s="1899" t="s">
        <v>1540</v>
      </c>
      <c r="J51" s="1900">
        <f>IF(J49="",J50,J49+J50-YEAR('数据-取费表'!B2))</f>
        <v>55</v>
      </c>
      <c r="K51" s="1901" t="s">
        <v>1541</v>
      </c>
      <c r="L51" s="1902" t="e">
        <f ca="1">ROUND(-PV(INDIRECT("'数据-取费表'!h"&amp;$G$1),L48,(C39-C13*C76),0),0)</f>
        <v>#N/A</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t="e">
        <f ca="1">J53</f>
        <v>#N/A</v>
      </c>
      <c r="R52" s="1887" t="s">
        <v>1546</v>
      </c>
    </row>
    <row r="53" spans="1:18" s="1843" customFormat="1" ht="30.75" customHeight="1" thickBot="1">
      <c r="A53" s="1363" t="s">
        <v>1137</v>
      </c>
      <c r="B53" s="369" t="s">
        <v>1409</v>
      </c>
      <c r="C53" s="361">
        <f ca="1">ROUND(IF(F53="押一",C49/12*F11,IF(F53="押二",C49/12*2*F11,IF(F53="押三",C49/12*3*F11,C54*F11))),0)</f>
        <v>0</v>
      </c>
      <c r="D53" s="1825" t="s">
        <v>3032</v>
      </c>
      <c r="E53" s="358" t="s">
        <v>1410</v>
      </c>
      <c r="F53" s="1368"/>
      <c r="I53" s="1906" t="s">
        <v>1547</v>
      </c>
      <c r="J53" s="1907" t="e">
        <f ca="1">IF(M47="住宅",IF(D1="——",MAX(J51,L48),IF(D1="在建（套用方法）",MAX(J51,L48-'数据-取费表'!B24),MAX(J51,L48-'数据-取费表'!B20))),IF(D1="——",MIN(J51,L48),IF(D1="在建（套用方法）",MIN(J51,L48-'数据-取费表'!B24),IF(D1="土地（套用方法）",MIN(J51,L48-'数据-取费表'!B20)))))</f>
        <v>#N/A</v>
      </c>
      <c r="K53" s="3249" t="s">
        <v>1548</v>
      </c>
      <c r="L53" s="3250"/>
      <c r="O53" s="1885" t="s">
        <v>1046</v>
      </c>
      <c r="P53" s="1886" t="s">
        <v>1549</v>
      </c>
      <c r="Q53" s="1887" t="e">
        <f ca="1">Q47+Q48</f>
        <v>#N/A</v>
      </c>
      <c r="R53" s="1887" t="s">
        <v>1047</v>
      </c>
    </row>
    <row r="54" spans="1:18" s="1843" customFormat="1" ht="13.5" thickBot="1">
      <c r="A54" s="1196"/>
      <c r="B54" s="1942" t="s">
        <v>1603</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#N/A</v>
      </c>
      <c r="K55" s="1913" t="s">
        <v>1552</v>
      </c>
      <c r="L55" s="1914"/>
      <c r="O55" s="1878" t="s">
        <v>1522</v>
      </c>
      <c r="P55" s="1879" t="s">
        <v>1523</v>
      </c>
      <c r="Q55" s="1880" t="s">
        <v>1524</v>
      </c>
      <c r="R55" s="1880" t="s">
        <v>1525</v>
      </c>
    </row>
    <row r="56" spans="1:18" s="1843" customFormat="1" ht="36" customHeight="1" thickTop="1" thickBot="1">
      <c r="A56" s="1178">
        <v>2</v>
      </c>
      <c r="B56" s="1179" t="s">
        <v>1414</v>
      </c>
      <c r="C56" s="276" t="e">
        <f ca="1">C13</f>
        <v>#N/A</v>
      </c>
      <c r="D56" s="1915"/>
      <c r="E56" s="1916"/>
      <c r="F56" s="1908"/>
      <c r="I56" s="1917" t="s">
        <v>1554</v>
      </c>
      <c r="J56" s="1918" t="s">
        <v>3056</v>
      </c>
      <c r="K56" s="1888" t="s">
        <v>1555</v>
      </c>
      <c r="L56" s="1891" t="e">
        <f ca="1">IF(L48&lt;J51,"——",L48-J51)</f>
        <v>#N/A</v>
      </c>
      <c r="O56" s="1885" t="s">
        <v>1040</v>
      </c>
      <c r="P56" s="1886" t="s">
        <v>1528</v>
      </c>
      <c r="Q56" s="1887" t="e">
        <f ca="1">C40+J29</f>
        <v>#N/A</v>
      </c>
      <c r="R56" s="1887" t="s">
        <v>1529</v>
      </c>
    </row>
    <row r="57" spans="1:18" s="1843" customFormat="1" ht="24.75" thickBot="1">
      <c r="A57" s="1919"/>
      <c r="B57" s="1171" t="s">
        <v>1478</v>
      </c>
      <c r="C57" s="282" t="e">
        <f ca="1">C29</f>
        <v>#N/A</v>
      </c>
      <c r="D57" s="1920"/>
      <c r="E57" s="1921"/>
      <c r="F57" s="1922"/>
      <c r="I57" s="1923" t="s">
        <v>1556</v>
      </c>
      <c r="J57" s="1924" t="e">
        <f ca="1">IF(OR(M47="住宅",J51&lt;L48,J56="是"),"——",J51-L48)</f>
        <v>#N/A</v>
      </c>
      <c r="K57" s="1888" t="s">
        <v>1605</v>
      </c>
      <c r="L57" s="1891" t="e">
        <f ca="1">IF(L48&lt;J51,"——",IF(L55="比较法",L49,IF(L55="基准地价",L50,L51)))</f>
        <v>#N/A</v>
      </c>
      <c r="O57" s="1885" t="s">
        <v>1041</v>
      </c>
      <c r="P57" s="1886" t="s">
        <v>1606</v>
      </c>
      <c r="Q57" s="1887" t="e">
        <f ca="1">L60</f>
        <v>#N/A</v>
      </c>
      <c r="R57" s="1887" t="s">
        <v>1607</v>
      </c>
    </row>
    <row r="58" spans="1:18" s="1843" customFormat="1" ht="24.75" thickBot="1">
      <c r="A58" s="360" t="s">
        <v>1030</v>
      </c>
      <c r="B58" s="1179" t="s">
        <v>1424</v>
      </c>
      <c r="C58" s="361" t="e">
        <f ca="1">ROUND(C59+C64+C65+C66,0)</f>
        <v>#N/A</v>
      </c>
      <c r="D58" s="1181" t="s">
        <v>1425</v>
      </c>
      <c r="E58" s="1182"/>
      <c r="F58" s="1183"/>
      <c r="I58" s="1923" t="s">
        <v>1560</v>
      </c>
      <c r="J58" s="1925" t="e">
        <f ca="1">IF(J55&lt;0.4,0.4,J55)</f>
        <v>#N/A</v>
      </c>
      <c r="K58" s="1901" t="s">
        <v>1608</v>
      </c>
      <c r="L58" s="1891" t="e">
        <f ca="1">ROUND(POWER(1+L52,L47-L48)*(POWER(1+L52,L48)-1)/(POWER(1+L52,L47)-1),4)</f>
        <v>#N/A</v>
      </c>
      <c r="O58" s="1895" t="s">
        <v>1042</v>
      </c>
      <c r="P58" s="1886" t="s">
        <v>1562</v>
      </c>
      <c r="Q58" s="1887">
        <f>IF(L55="比较法",L49,IF(L55="基准地价",L50,0))</f>
        <v>0</v>
      </c>
      <c r="R58" s="1887" t="s">
        <v>1529</v>
      </c>
    </row>
    <row r="59" spans="1:18" s="1843" customFormat="1" ht="24.75" thickBot="1">
      <c r="A59" s="1203" t="s">
        <v>1035</v>
      </c>
      <c r="B59" s="1171" t="s">
        <v>1429</v>
      </c>
      <c r="C59" s="24" t="e">
        <f ca="1">ROUND(IF(项目基本情况!B11="自然人",C48*F59,C60+C61+C62),0)</f>
        <v>#N/A</v>
      </c>
      <c r="D59" s="1184" t="s">
        <v>1430</v>
      </c>
      <c r="E59" s="1185" t="s">
        <v>1431</v>
      </c>
      <c r="F59" s="368" t="str">
        <f ca="1">IF(项目基本情况!B11="企业","",IF(INDIRECT("'数据-取费表'!c"&amp;$G$1)="住宅",5%,IF(F49*F50*F51/12/(1+'数据-取费表'!C42)&gt;20000,12%,7%)))</f>
        <v/>
      </c>
      <c r="I59" s="1923" t="s">
        <v>1563</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5" t="s">
        <v>1043</v>
      </c>
      <c r="P59" s="1886" t="s">
        <v>1564</v>
      </c>
      <c r="Q59" s="1898">
        <f>L52</f>
        <v>0</v>
      </c>
      <c r="R59" s="1887"/>
    </row>
    <row r="60" spans="1:18" s="1843" customFormat="1" ht="16.5" thickBot="1">
      <c r="A60" s="1203" t="s">
        <v>1034</v>
      </c>
      <c r="B60" s="1171" t="s">
        <v>1433</v>
      </c>
      <c r="C60" s="24" t="e">
        <f ca="1">IF(项目基本情况!B11="自然人","——",ROUND(C48*F60/(1+'数据-取费表'!C42),0))</f>
        <v>#N/A</v>
      </c>
      <c r="D60" s="1185" t="s">
        <v>1434</v>
      </c>
      <c r="E60" s="1171" t="s">
        <v>1422</v>
      </c>
      <c r="F60" s="377">
        <f t="shared" ref="F60:F66" si="0">F32</f>
        <v>5.6000000000000001E-2</v>
      </c>
      <c r="I60" s="1926" t="s">
        <v>1565</v>
      </c>
      <c r="J60" s="1927" t="e">
        <f ca="1">IF(OR(M47="住宅",J51&lt;L48,J56="是"),"0",ROUND(J59/(1+J52)^J53,0))</f>
        <v>#N/A</v>
      </c>
      <c r="K60" s="1928" t="s">
        <v>1566</v>
      </c>
      <c r="L60" s="1927" t="e">
        <f ca="1">IF(OR(M47="住宅",L48&lt;J51),0,ROUND(L57*(L58/L59-1),0))</f>
        <v>#N/A</v>
      </c>
      <c r="O60" s="1895" t="s">
        <v>1044</v>
      </c>
      <c r="P60" s="1886" t="s">
        <v>1567</v>
      </c>
      <c r="Q60" s="1887" t="e">
        <f ca="1">L58</f>
        <v>#N/A</v>
      </c>
      <c r="R60" s="1887" t="s">
        <v>1568</v>
      </c>
    </row>
    <row r="61" spans="1:18" s="1843" customFormat="1" ht="13.5" thickBot="1">
      <c r="A61" s="1203" t="s">
        <v>1492</v>
      </c>
      <c r="B61" s="1171" t="s">
        <v>1493</v>
      </c>
      <c r="C61" s="24" t="e">
        <f ca="1">IF(项目基本情况!B11="自然人","——",IF(D61="按租金收入计税",ROUND(C48*F61,0),IF(D61="按房产原值计税",ROUND(C57*F61*0.7,0),INDIRECT("'数据-取费表'!Aj"&amp;$G$1))))</f>
        <v>#N/A</v>
      </c>
      <c r="D61" s="1829" t="s">
        <v>1438</v>
      </c>
      <c r="E61" s="1171" t="s">
        <v>1494</v>
      </c>
      <c r="F61" s="367">
        <f t="shared" si="0"/>
        <v>1.2E-2</v>
      </c>
      <c r="I61" s="1929"/>
      <c r="J61" s="1929"/>
      <c r="K61" s="1929"/>
      <c r="L61" s="1929"/>
      <c r="O61" s="1895" t="s">
        <v>1045</v>
      </c>
      <c r="P61" s="1886" t="str">
        <f>K59</f>
        <v>建筑物剩余耐用年限下的土地年期修正系数Kn</v>
      </c>
      <c r="Q61" s="1887" t="e">
        <f ca="1">L59</f>
        <v>#N/A</v>
      </c>
      <c r="R61" s="1887" t="s">
        <v>1569</v>
      </c>
    </row>
    <row r="62" spans="1:18" s="1843" customFormat="1" ht="13.5" thickBot="1">
      <c r="A62" s="1203" t="s">
        <v>1495</v>
      </c>
      <c r="B62" s="1170" t="s">
        <v>1496</v>
      </c>
      <c r="C62" s="25" t="e">
        <f ca="1">IF(项目基本情况!B11="自然人","——",ROUND(F62*F63,0))</f>
        <v>#N/A</v>
      </c>
      <c r="D62" s="1186" t="s">
        <v>1497</v>
      </c>
      <c r="E62" s="1171" t="s">
        <v>1498</v>
      </c>
      <c r="F62" s="371">
        <f t="shared" si="0"/>
        <v>4</v>
      </c>
      <c r="I62" s="1930" t="s">
        <v>1570</v>
      </c>
      <c r="J62" s="1931" t="s">
        <v>1571</v>
      </c>
      <c r="K62" s="1931" t="s">
        <v>1572</v>
      </c>
      <c r="L62" s="1931" t="s">
        <v>1573</v>
      </c>
      <c r="M62" s="1932" t="s">
        <v>1574</v>
      </c>
      <c r="O62" s="1885" t="s">
        <v>1046</v>
      </c>
      <c r="P62" s="1886" t="s">
        <v>1575</v>
      </c>
      <c r="Q62" s="1887" t="e">
        <f ca="1">Q56+Q57</f>
        <v>#N/A</v>
      </c>
      <c r="R62" s="1887" t="s">
        <v>1047</v>
      </c>
    </row>
    <row r="63" spans="1:18" s="1843" customFormat="1" ht="13.5" thickBot="1">
      <c r="A63" s="372"/>
      <c r="B63" s="1177"/>
      <c r="C63" s="29"/>
      <c r="D63" s="1187"/>
      <c r="E63" s="1171" t="s">
        <v>1499</v>
      </c>
      <c r="F63" s="348" t="e">
        <f t="shared" ca="1" si="0"/>
        <v>#N/A</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t="e">
        <f ca="1">ROUND(C57*F64,0)</f>
        <v>#N/A</v>
      </c>
      <c r="D64" s="1185" t="s">
        <v>1502</v>
      </c>
      <c r="E64" s="1171" t="s">
        <v>1494</v>
      </c>
      <c r="F64" s="374" t="e">
        <f t="shared" ca="1" si="0"/>
        <v>#N/A</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t="e">
        <f ca="1">ROUND(C56*F65,0)</f>
        <v>#N/A</v>
      </c>
      <c r="D65" s="1185" t="s">
        <v>1454</v>
      </c>
      <c r="E65" s="1171" t="s">
        <v>1455</v>
      </c>
      <c r="F65" s="376" t="e">
        <f t="shared" ca="1" si="0"/>
        <v>#N/A</v>
      </c>
      <c r="I65" s="1930" t="s">
        <v>1579</v>
      </c>
      <c r="J65" s="1931">
        <v>40</v>
      </c>
      <c r="K65" s="1931">
        <v>30</v>
      </c>
      <c r="L65" s="1931">
        <v>50</v>
      </c>
      <c r="M65" s="1933">
        <v>0.02</v>
      </c>
      <c r="O65" s="1885" t="s">
        <v>1040</v>
      </c>
      <c r="P65" s="1886" t="s">
        <v>1580</v>
      </c>
      <c r="Q65" s="1887" t="e">
        <f ca="1">C40+J29</f>
        <v>#N/A</v>
      </c>
      <c r="R65" s="1887" t="s">
        <v>1529</v>
      </c>
    </row>
    <row r="66" spans="1:18" s="1843" customFormat="1" ht="16.5" thickBot="1">
      <c r="A66" s="1203" t="s">
        <v>1504</v>
      </c>
      <c r="B66" s="1171" t="s">
        <v>1439</v>
      </c>
      <c r="C66" s="24" t="e">
        <f ca="1">ROUND(C48*F66,0)</f>
        <v>#N/A</v>
      </c>
      <c r="D66" s="1185" t="s">
        <v>1505</v>
      </c>
      <c r="E66" s="1171" t="s">
        <v>1422</v>
      </c>
      <c r="F66" s="357" t="e">
        <f t="shared" ca="1" si="0"/>
        <v>#N/A</v>
      </c>
      <c r="O66" s="1885" t="s">
        <v>1041</v>
      </c>
      <c r="P66" s="1886" t="s">
        <v>1558</v>
      </c>
      <c r="Q66" s="1887" t="e">
        <f ca="1">L60</f>
        <v>#N/A</v>
      </c>
      <c r="R66" s="1887" t="s">
        <v>1581</v>
      </c>
    </row>
    <row r="67" spans="1:18" s="1843" customFormat="1" ht="16.5" thickBot="1">
      <c r="A67" s="1178" t="s">
        <v>1031</v>
      </c>
      <c r="B67" s="1188" t="s">
        <v>1463</v>
      </c>
      <c r="C67" s="361" t="e">
        <f ca="1">C48-C58</f>
        <v>#N/A</v>
      </c>
      <c r="D67" s="1184" t="s">
        <v>1464</v>
      </c>
      <c r="E67" s="1189"/>
      <c r="F67" s="1190"/>
      <c r="O67" s="1895" t="s">
        <v>1042</v>
      </c>
      <c r="P67" s="1886" t="s">
        <v>1562</v>
      </c>
      <c r="Q67" s="1934" t="e">
        <f ca="1">L51</f>
        <v>#N/A</v>
      </c>
      <c r="R67" s="1887" t="s">
        <v>1582</v>
      </c>
    </row>
    <row r="68" spans="1:18" s="1843" customFormat="1" ht="16.5" thickBot="1">
      <c r="A68" s="1168" t="s">
        <v>1032</v>
      </c>
      <c r="B68" s="1169" t="s">
        <v>1485</v>
      </c>
      <c r="C68" s="346" t="e">
        <f ca="1">ROUND(C67*(1-((1+F70)/(1+F68))^F69)/(F68-F70),0)</f>
        <v>#N/A</v>
      </c>
      <c r="D68" s="1186" t="s">
        <v>1469</v>
      </c>
      <c r="E68" s="1171" t="s">
        <v>1470</v>
      </c>
      <c r="F68" s="357" t="e">
        <f ca="1">F40</f>
        <v>#N/A</v>
      </c>
      <c r="O68" s="1895" t="s">
        <v>1043</v>
      </c>
      <c r="P68" s="1935" t="s">
        <v>1583</v>
      </c>
      <c r="Q68" s="1887" t="e">
        <f ca="1">ROUND(Q69-Q70*Q71,0)</f>
        <v>#N/A</v>
      </c>
      <c r="R68" s="1887" t="s">
        <v>1051</v>
      </c>
    </row>
    <row r="69" spans="1:18" s="1843" customFormat="1" ht="13.5" thickBot="1">
      <c r="A69" s="1172"/>
      <c r="B69" s="1173"/>
      <c r="C69" s="351"/>
      <c r="D69" s="1191" t="s">
        <v>1473</v>
      </c>
      <c r="E69" s="1171" t="s">
        <v>1474</v>
      </c>
      <c r="F69" s="379" t="e">
        <f ca="1">F41</f>
        <v>#N/A</v>
      </c>
      <c r="O69" s="1895" t="s">
        <v>1048</v>
      </c>
      <c r="P69" s="1935" t="s">
        <v>1584</v>
      </c>
      <c r="Q69" s="1887" t="e">
        <f ca="1">C39</f>
        <v>#N/A</v>
      </c>
      <c r="R69" s="1887" t="s">
        <v>1529</v>
      </c>
    </row>
    <row r="70" spans="1:18" s="1843" customFormat="1" ht="13.5" thickBot="1">
      <c r="A70" s="1175"/>
      <c r="B70" s="1176"/>
      <c r="C70" s="355"/>
      <c r="D70" s="1187"/>
      <c r="E70" s="1171" t="s">
        <v>1477</v>
      </c>
      <c r="F70" s="1277" t="e">
        <f ca="1">F42</f>
        <v>#N/A</v>
      </c>
      <c r="O70" s="1895" t="s">
        <v>1049</v>
      </c>
      <c r="P70" s="1935" t="s">
        <v>1585</v>
      </c>
      <c r="Q70" s="1887" t="e">
        <f ca="1">C13</f>
        <v>#N/A</v>
      </c>
      <c r="R70" s="1887" t="s">
        <v>1529</v>
      </c>
    </row>
    <row r="71" spans="1:18" s="1843" customFormat="1" ht="13.5" thickBot="1">
      <c r="A71" s="1192" t="s">
        <v>1033</v>
      </c>
      <c r="B71" s="1193" t="s">
        <v>1487</v>
      </c>
      <c r="C71" s="382" t="e">
        <f ca="1">ROUND(C68/F71,0)</f>
        <v>#N/A</v>
      </c>
      <c r="D71" s="1194" t="s">
        <v>1488</v>
      </c>
      <c r="E71" s="1195" t="s">
        <v>1489</v>
      </c>
      <c r="F71" s="385" t="e">
        <f ca="1">F43</f>
        <v>#N/A</v>
      </c>
      <c r="O71" s="1895" t="s">
        <v>1050</v>
      </c>
      <c r="P71" s="1935" t="s">
        <v>1586</v>
      </c>
      <c r="Q71" s="1898" t="e">
        <f ca="1">C76</f>
        <v>#N/A</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#N/A</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#N/A</v>
      </c>
      <c r="R74" s="1887" t="s">
        <v>1569</v>
      </c>
    </row>
    <row r="75" spans="1:18" ht="13.5" thickBot="1">
      <c r="A75" s="1843"/>
      <c r="B75" s="386" t="s">
        <v>1506</v>
      </c>
      <c r="C75" s="387" t="e">
        <f ca="1">ROUND(C13*C76,0)</f>
        <v>#N/A</v>
      </c>
      <c r="D75" s="1843"/>
      <c r="E75" s="1843"/>
      <c r="F75" s="1843"/>
      <c r="K75" s="1869"/>
      <c r="L75" s="1843"/>
      <c r="O75" s="1885" t="s">
        <v>1046</v>
      </c>
      <c r="P75" s="1886" t="s">
        <v>1549</v>
      </c>
      <c r="Q75" s="1887" t="e">
        <f ca="1">Q65+Q66</f>
        <v>#N/A</v>
      </c>
      <c r="R75" s="1887" t="s">
        <v>1047</v>
      </c>
    </row>
    <row r="76" spans="1:18">
      <c r="B76" s="388" t="s">
        <v>1507</v>
      </c>
      <c r="C76" s="389" t="e">
        <f ca="1">INDIRECT("'数据-取费表'!j"&amp;$G$1)</f>
        <v>#N/A</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E27" sqref="E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3144</v>
      </c>
      <c r="D1" s="1821" t="s">
        <v>70</v>
      </c>
      <c r="E1" s="1822" t="s">
        <v>1387</v>
      </c>
      <c r="F1" s="1285">
        <f ca="1">J53</f>
        <v>55</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970</v>
      </c>
      <c r="C2" s="1846" t="s">
        <v>1516</v>
      </c>
      <c r="D2" s="1846"/>
      <c r="E2" s="1847"/>
      <c r="F2" s="1848"/>
      <c r="G2" s="1849"/>
      <c r="H2" s="1841"/>
      <c r="I2" s="1841"/>
      <c r="J2" s="1841"/>
      <c r="K2" s="1842"/>
      <c r="L2" s="1841"/>
      <c r="M2" s="1841"/>
    </row>
    <row r="3" spans="1:37" ht="18" customHeight="1" thickBot="1">
      <c r="A3" s="1850" t="s">
        <v>1517</v>
      </c>
      <c r="B3" s="1851">
        <f ca="1">IF(ISERROR(B2*10000/F43),0,ROUND(B2*10000/F43,0))</f>
        <v>16654</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61</v>
      </c>
      <c r="D5" s="1823" t="s">
        <v>1402</v>
      </c>
      <c r="E5" s="1295"/>
      <c r="F5" s="1296"/>
      <c r="G5" s="1852"/>
      <c r="H5" s="344">
        <v>1</v>
      </c>
      <c r="I5" s="345" t="s">
        <v>1401</v>
      </c>
      <c r="J5" s="1294">
        <f ca="1">J6+J10+J12</f>
        <v>0</v>
      </c>
      <c r="K5" s="1823" t="s">
        <v>1402</v>
      </c>
      <c r="L5" s="1295"/>
      <c r="M5" s="1296"/>
    </row>
    <row r="6" spans="1:37" ht="18" customHeight="1">
      <c r="A6" s="1293" t="s">
        <v>1035</v>
      </c>
      <c r="B6" s="3246" t="s">
        <v>1403</v>
      </c>
      <c r="C6" s="1298">
        <f ca="1">ROUND(F6*F8*F7*(1-F9)/10000,0)</f>
        <v>61</v>
      </c>
      <c r="D6" s="164" t="s">
        <v>3021</v>
      </c>
      <c r="E6" s="347" t="s">
        <v>1405</v>
      </c>
      <c r="F6" s="348">
        <f ca="1">INDIRECT("'数据-取费表'!u"&amp;$G$1)</f>
        <v>6</v>
      </c>
      <c r="G6" s="1852"/>
      <c r="H6" s="1293" t="s">
        <v>1035</v>
      </c>
      <c r="I6" s="3246" t="s">
        <v>1403</v>
      </c>
      <c r="J6" s="346">
        <f ca="1">ROUND(M6*M8*M7*(1-M9)/10000,0)</f>
        <v>0</v>
      </c>
      <c r="K6" s="164" t="s">
        <v>3020</v>
      </c>
      <c r="L6" s="347" t="s">
        <v>1405</v>
      </c>
      <c r="M6" s="348">
        <f ca="1">INDIRECT("'数据-取费表'!z"&amp;$G$1)</f>
        <v>0</v>
      </c>
    </row>
    <row r="7" spans="1:37" ht="18" customHeight="1">
      <c r="A7" s="1297"/>
      <c r="B7" s="3247"/>
      <c r="C7" s="1299"/>
      <c r="D7" s="352"/>
      <c r="E7" s="1300" t="s">
        <v>1406</v>
      </c>
      <c r="F7" s="348">
        <f ca="1">IF(INDIRECT("'数据-取费表'!ah"&amp;$G$1)="",INDIRECT("'数据-取费表'!k"&amp;$G$1),INDIRECT("'数据-取费表'!ah"&amp;$G$1))</f>
        <v>582.44000000000005</v>
      </c>
      <c r="G7" s="1852"/>
      <c r="H7" s="349"/>
      <c r="I7" s="3247"/>
      <c r="J7" s="351"/>
      <c r="K7" s="352"/>
      <c r="L7" s="347" t="s">
        <v>1406</v>
      </c>
      <c r="M7" s="348">
        <f ca="1">F7</f>
        <v>582.44000000000005</v>
      </c>
    </row>
    <row r="8" spans="1:37" ht="18" customHeight="1">
      <c r="A8" s="349"/>
      <c r="B8" s="3247"/>
      <c r="C8" s="351"/>
      <c r="D8" s="352"/>
      <c r="E8" s="347" t="s">
        <v>1407</v>
      </c>
      <c r="F8" s="348">
        <f ca="1">INDIRECT("'数据-取费表'!ai"&amp;$G$1)</f>
        <v>365</v>
      </c>
      <c r="G8" s="1852"/>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0.52</v>
      </c>
      <c r="G9" s="1852"/>
      <c r="H9" s="349"/>
      <c r="I9" s="3248"/>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3030</v>
      </c>
      <c r="E10" s="358" t="s">
        <v>1410</v>
      </c>
      <c r="F10" s="1368" t="s">
        <v>3189</v>
      </c>
      <c r="G10" s="1852"/>
      <c r="H10" s="1293" t="s">
        <v>1039</v>
      </c>
      <c r="I10" s="1824" t="s">
        <v>1409</v>
      </c>
      <c r="J10" s="346">
        <f ca="1">ROUND(IF(M10="押一",J6/12*M11,IF(M10="押二",J6/12*2*M11,IF(M10="押三",J6/12*3*M11,J11*M11))),0)</f>
        <v>0</v>
      </c>
      <c r="K10" s="1825" t="s">
        <v>3029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323</v>
      </c>
      <c r="D13" s="1333" t="s">
        <v>1415</v>
      </c>
      <c r="E13" s="1333" t="s">
        <v>1416</v>
      </c>
      <c r="F13" s="1334">
        <f ca="1">INDIRECT("'数据-取费表'!y"&amp;$G$1)</f>
        <v>0.92</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233</v>
      </c>
      <c r="D14" s="1801" t="s">
        <v>1418</v>
      </c>
      <c r="E14" s="1795"/>
      <c r="F14" s="364"/>
      <c r="G14" s="1852"/>
      <c r="H14" s="1203" t="s">
        <v>1035</v>
      </c>
      <c r="I14" s="347" t="s">
        <v>1419</v>
      </c>
      <c r="J14" s="24">
        <f ca="1">C29</f>
        <v>351</v>
      </c>
      <c r="K14" s="15"/>
      <c r="L14" s="981"/>
      <c r="M14" s="982"/>
    </row>
    <row r="15" spans="1:37" s="1859" customFormat="1" ht="18" customHeight="1" thickBot="1">
      <c r="A15" s="1203" t="s">
        <v>1036</v>
      </c>
      <c r="B15" s="347" t="s">
        <v>1420</v>
      </c>
      <c r="C15" s="24">
        <f ca="1">ROUND(C14*F15,0)</f>
        <v>12</v>
      </c>
      <c r="D15" s="365" t="s">
        <v>1421</v>
      </c>
      <c r="E15" s="365" t="s">
        <v>1422</v>
      </c>
      <c r="F15" s="366">
        <f>'数据-取费表'!B33</f>
        <v>0.05</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9</v>
      </c>
      <c r="K16" s="1339" t="s">
        <v>1425</v>
      </c>
      <c r="L16" s="1340"/>
      <c r="M16" s="1296"/>
    </row>
    <row r="17" spans="1:37" s="1859" customFormat="1" ht="18" customHeight="1">
      <c r="A17" s="1203" t="s">
        <v>1390</v>
      </c>
      <c r="B17" s="347" t="s">
        <v>1426</v>
      </c>
      <c r="C17" s="24">
        <f ca="1">ROUND(F17*(F43+INDIRECT("'数据-取费表'!S"&amp;$G$1))/10000,0)</f>
        <v>12</v>
      </c>
      <c r="D17" s="347" t="s">
        <v>1427</v>
      </c>
      <c r="E17" s="347" t="s">
        <v>1428</v>
      </c>
      <c r="F17" s="26">
        <f>'数据-取费表'!B35</f>
        <v>200</v>
      </c>
      <c r="G17" s="1855"/>
      <c r="H17" s="1203" t="s">
        <v>1035</v>
      </c>
      <c r="I17" s="347" t="s">
        <v>1429</v>
      </c>
      <c r="J17" s="24">
        <f ca="1">ROUND(IF(项目基本情况!B11="自然人",J5*M17,J18+J19+J20),1)</f>
        <v>3.2</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3</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260</v>
      </c>
      <c r="D19" s="140" t="s">
        <v>1436</v>
      </c>
      <c r="E19" s="1819"/>
      <c r="F19" s="26"/>
      <c r="G19" s="1852"/>
      <c r="H19" s="1203" t="s">
        <v>1036</v>
      </c>
      <c r="I19" s="347" t="s">
        <v>1437</v>
      </c>
      <c r="J19" s="24">
        <f ca="1">IF(K19="按租金收入计税",ROUND(J5*M19,2),ROUND(C29*M19*0.7,2))</f>
        <v>2.95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v>
      </c>
      <c r="D20" s="369" t="s">
        <v>1440</v>
      </c>
      <c r="E20" s="347" t="s">
        <v>1422</v>
      </c>
      <c r="F20" s="367">
        <f>'数据-取费表'!B37</f>
        <v>0.02</v>
      </c>
      <c r="G20" s="1855"/>
      <c r="H20" s="1203" t="s">
        <v>1389</v>
      </c>
      <c r="I20" s="164" t="s">
        <v>1441</v>
      </c>
      <c r="J20" s="25">
        <f ca="1">ROUND(M20*M21/10000,2)</f>
        <v>0.23</v>
      </c>
      <c r="K20" s="370" t="s">
        <v>1442</v>
      </c>
      <c r="L20" s="347" t="s">
        <v>1443</v>
      </c>
      <c r="M20" s="371">
        <f>'数据-取费表'!B52</f>
        <v>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577.58000000000004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19"/>
      <c r="F22" s="26"/>
      <c r="G22" s="1852"/>
      <c r="H22" s="1203" t="s">
        <v>1039</v>
      </c>
      <c r="I22" s="347" t="s">
        <v>1449</v>
      </c>
      <c r="J22" s="24">
        <f ca="1">ROUND(J14*M22,1)</f>
        <v>5.3</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1452</v>
      </c>
      <c r="F23" s="371">
        <f>'数据-取费表'!B20</f>
        <v>1</v>
      </c>
      <c r="G23" s="1855"/>
      <c r="H23" s="1203"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-9</v>
      </c>
      <c r="K25" s="1347" t="s">
        <v>1464</v>
      </c>
      <c r="L25" s="1348"/>
      <c r="M25" s="1349"/>
    </row>
    <row r="26" spans="1:37">
      <c r="A26" s="1203" t="s">
        <v>1034</v>
      </c>
      <c r="B26" s="347" t="s">
        <v>1465</v>
      </c>
      <c r="C26" s="24">
        <f ca="1">ROUND((C19+C20)*F26,0)</f>
        <v>53</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351</v>
      </c>
      <c r="D29" s="1344"/>
      <c r="E29" s="1342"/>
      <c r="F29" s="1345"/>
      <c r="G29" s="1855"/>
      <c r="H29" s="380" t="s">
        <v>1033</v>
      </c>
      <c r="I29" s="381" t="s">
        <v>1479</v>
      </c>
      <c r="J29" s="382">
        <f ca="1">ROUND(J26/(1+F40)^F41,0)</f>
        <v>0</v>
      </c>
      <c r="K29" s="383" t="s">
        <v>1480</v>
      </c>
      <c r="L29" s="384"/>
      <c r="M29" s="385">
        <f ca="1">INDIRECT("'数据-取费表'!k"&amp;$G$1)</f>
        <v>582.44000000000005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13</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6.4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3.25</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2.95</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0.23</v>
      </c>
      <c r="D34" s="370" t="s">
        <v>1442</v>
      </c>
      <c r="E34" s="347" t="s">
        <v>1443</v>
      </c>
      <c r="F34" s="371">
        <f>'数据-取费表'!B52</f>
        <v>4</v>
      </c>
      <c r="G34" s="1852"/>
      <c r="H34" s="744"/>
      <c r="I34" s="1861"/>
      <c r="J34" s="1862"/>
      <c r="K34" s="1864"/>
      <c r="L34" s="1865"/>
      <c r="M34" s="1865"/>
    </row>
    <row r="35" spans="1:18" ht="18" customHeight="1">
      <c r="A35" s="1355"/>
      <c r="B35" s="1353"/>
      <c r="C35" s="29"/>
      <c r="D35" s="373"/>
      <c r="E35" s="347" t="s">
        <v>1447</v>
      </c>
      <c r="F35" s="348">
        <f ca="1">INDIRECT("'数据-取费表'!r"&amp;$G$1)</f>
        <v>577.58000000000004</v>
      </c>
      <c r="G35" s="1852"/>
      <c r="H35" s="744"/>
      <c r="I35" s="1861"/>
      <c r="J35" s="1862"/>
      <c r="K35" s="1863"/>
      <c r="L35" s="1860"/>
      <c r="M35" s="1860"/>
    </row>
    <row r="36" spans="1:18" ht="18" customHeight="1">
      <c r="A36" s="1354" t="s">
        <v>1039</v>
      </c>
      <c r="B36" s="347" t="s">
        <v>1449</v>
      </c>
      <c r="C36" s="24">
        <f ca="1">ROUND(C29*F36,1)</f>
        <v>5.3</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0.5</v>
      </c>
      <c r="D37" s="1799"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0.6</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48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970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55</v>
      </c>
      <c r="G41" s="1852"/>
      <c r="H41" s="731"/>
      <c r="I41" s="1861"/>
      <c r="J41" s="1862"/>
      <c r="K41" s="750"/>
      <c r="L41" s="731"/>
      <c r="M41" s="731"/>
    </row>
    <row r="42" spans="1:18" ht="18" customHeight="1">
      <c r="A42" s="353"/>
      <c r="B42" s="354"/>
      <c r="C42" s="355"/>
      <c r="D42" s="373"/>
      <c r="E42" s="347" t="s">
        <v>1477</v>
      </c>
      <c r="F42" s="357">
        <f ca="1">INDIRECT("'数据-取费表'!v"&amp;$G$1)</f>
        <v>0.01</v>
      </c>
      <c r="G42" s="1852"/>
      <c r="H42" s="731"/>
      <c r="I42" s="1861"/>
      <c r="J42" s="1862"/>
      <c r="K42" s="750"/>
      <c r="L42" s="731"/>
      <c r="M42" s="731"/>
    </row>
    <row r="43" spans="1:18" ht="18" customHeight="1" thickBot="1">
      <c r="A43" s="380" t="s">
        <v>1033</v>
      </c>
      <c r="B43" s="381" t="s">
        <v>1487</v>
      </c>
      <c r="C43" s="382">
        <f ca="1">ROUND(C40*10000/F43,0)</f>
        <v>16654</v>
      </c>
      <c r="D43" s="383" t="s">
        <v>1488</v>
      </c>
      <c r="E43" s="384" t="s">
        <v>1489</v>
      </c>
      <c r="F43" s="385">
        <f ca="1">INDIRECT("'数据-取费表'!k"&amp;$G$1)</f>
        <v>582.44000000000005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-1125</v>
      </c>
      <c r="D46" s="1873" t="str">
        <f>C2</f>
        <v>万元</v>
      </c>
      <c r="E46" s="1867"/>
      <c r="F46" s="1867"/>
      <c r="I46" s="1874" t="s">
        <v>1521</v>
      </c>
      <c r="J46" s="1875"/>
      <c r="K46" s="1876"/>
      <c r="L46" s="1877">
        <f>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3106</v>
      </c>
      <c r="K47" s="1883" t="s">
        <v>1527</v>
      </c>
      <c r="L47" s="1884">
        <f ca="1">INDIRECT("'数据-取费表'!d"&amp;$G$1)</f>
        <v>70</v>
      </c>
      <c r="M47" s="1839" t="str">
        <f>IF(ISNUMBER(FIND("住宅",C1)),"住宅","非住宅")</f>
        <v>住宅</v>
      </c>
      <c r="O47" s="1885" t="s">
        <v>1040</v>
      </c>
      <c r="P47" s="1886" t="s">
        <v>1528</v>
      </c>
      <c r="Q47" s="1887">
        <f ca="1">C40+J29</f>
        <v>970</v>
      </c>
      <c r="R47" s="1887" t="s">
        <v>1529</v>
      </c>
    </row>
    <row r="48" spans="1:18" s="1843" customFormat="1" ht="28.5" thickBot="1">
      <c r="A48" s="1362" t="s">
        <v>1135</v>
      </c>
      <c r="B48" s="345" t="s">
        <v>1401</v>
      </c>
      <c r="C48" s="1818">
        <f ca="1">C49+C53+C55</f>
        <v>0</v>
      </c>
      <c r="D48" s="1364"/>
      <c r="E48" s="1365"/>
      <c r="F48" s="1183"/>
      <c r="G48" s="791"/>
      <c r="H48" s="792"/>
      <c r="I48" s="1888" t="s">
        <v>1530</v>
      </c>
      <c r="J48" s="1889" t="s">
        <v>3122</v>
      </c>
      <c r="K48" s="1890" t="s">
        <v>1531</v>
      </c>
      <c r="L48" s="1891">
        <f ca="1">INDIRECT("'数据-取费表'!f"&amp;$G$1)</f>
        <v>45.06</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3022</v>
      </c>
      <c r="E49" s="1831" t="s">
        <v>1491</v>
      </c>
      <c r="F49" s="1283"/>
      <c r="G49" s="1892"/>
      <c r="H49" s="792"/>
      <c r="I49" s="1888" t="s">
        <v>1534</v>
      </c>
      <c r="J49" s="1893">
        <v>2013</v>
      </c>
      <c r="K49" s="1890" t="s">
        <v>1535</v>
      </c>
      <c r="L49" s="1894"/>
      <c r="O49" s="1895" t="s">
        <v>1042</v>
      </c>
      <c r="P49" s="1886" t="s">
        <v>1536</v>
      </c>
      <c r="Q49" s="1887">
        <f ca="1">C29</f>
        <v>351</v>
      </c>
      <c r="R49" s="1887" t="s">
        <v>1529</v>
      </c>
    </row>
    <row r="50" spans="1:18" s="1843" customFormat="1" ht="13.5" thickBot="1">
      <c r="A50" s="1197"/>
      <c r="B50" s="1200"/>
      <c r="C50" s="1370"/>
      <c r="D50" s="1174"/>
      <c r="E50" s="1279" t="s">
        <v>1406</v>
      </c>
      <c r="F50" s="1280">
        <f ca="1">F7</f>
        <v>582.44000000000005</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55</v>
      </c>
      <c r="K51" s="1901" t="s">
        <v>1541</v>
      </c>
      <c r="L51" s="1902">
        <f ca="1">ROUND(-PV(INDIRECT("'数据-取费表'!h"&amp;$G$1),L48,(C39-C13*C76),0),0)</f>
        <v>394</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55</v>
      </c>
      <c r="R52" s="1887" t="s">
        <v>1546</v>
      </c>
    </row>
    <row r="53" spans="1:18" s="1843" customFormat="1" ht="24.75" thickBot="1">
      <c r="A53" s="1407" t="s">
        <v>1137</v>
      </c>
      <c r="B53" s="1832" t="s">
        <v>1409</v>
      </c>
      <c r="C53" s="361">
        <f ca="1">ROUND(IF(F53="押一",C49/12*F11,IF(F53="押二",C49/12*2*F11,IF(F53="押三",C49/12*3*F11,C54*F11))),0)</f>
        <v>0</v>
      </c>
      <c r="D53" s="1825" t="s">
        <v>3029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55</v>
      </c>
      <c r="K53" s="3249" t="s">
        <v>1548</v>
      </c>
      <c r="L53" s="3250"/>
      <c r="O53" s="1885" t="s">
        <v>1046</v>
      </c>
      <c r="P53" s="1886" t="s">
        <v>1549</v>
      </c>
      <c r="Q53" s="1887">
        <f ca="1">Q47+Q48</f>
        <v>970</v>
      </c>
      <c r="R53" s="1887" t="s">
        <v>1047</v>
      </c>
    </row>
    <row r="54" spans="1:18" s="1843" customFormat="1" ht="13.5" thickBot="1">
      <c r="A54" s="1408"/>
      <c r="B54" s="1826" t="s">
        <v>1388</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323</v>
      </c>
      <c r="D56" s="1915"/>
      <c r="E56" s="1916"/>
      <c r="F56" s="1908"/>
      <c r="I56" s="1917" t="s">
        <v>1554</v>
      </c>
      <c r="J56" s="1918" t="s">
        <v>3056</v>
      </c>
      <c r="K56" s="1888" t="s">
        <v>1555</v>
      </c>
      <c r="L56" s="1891" t="str">
        <f ca="1">IF(L48&lt;J51,"——",L48-J53)</f>
        <v>——</v>
      </c>
      <c r="O56" s="1885" t="s">
        <v>1040</v>
      </c>
      <c r="P56" s="1886" t="s">
        <v>1528</v>
      </c>
      <c r="Q56" s="1887">
        <f ca="1">C40+J29</f>
        <v>970</v>
      </c>
      <c r="R56" s="1887" t="s">
        <v>1529</v>
      </c>
    </row>
    <row r="57" spans="1:18" s="1843" customFormat="1" ht="24.75" thickBot="1">
      <c r="A57" s="1919"/>
      <c r="B57" s="1171" t="s">
        <v>1478</v>
      </c>
      <c r="C57" s="282">
        <f ca="1">C29</f>
        <v>351</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9</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3.2</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2.95</v>
      </c>
      <c r="D61" s="1829" t="s">
        <v>1438</v>
      </c>
      <c r="E61" s="1171" t="s">
        <v>1494</v>
      </c>
      <c r="F61" s="367">
        <f t="shared" si="0"/>
        <v>1.2E-2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0.23</v>
      </c>
      <c r="D62" s="1186" t="s">
        <v>1497</v>
      </c>
      <c r="E62" s="1171" t="s">
        <v>1498</v>
      </c>
      <c r="F62" s="371">
        <f t="shared" si="0"/>
        <v>4</v>
      </c>
      <c r="I62" s="1930" t="s">
        <v>1570</v>
      </c>
      <c r="J62" s="1931" t="s">
        <v>1571</v>
      </c>
      <c r="K62" s="1931" t="s">
        <v>1572</v>
      </c>
      <c r="L62" s="1931" t="s">
        <v>1573</v>
      </c>
      <c r="M62" s="1932" t="s">
        <v>1574</v>
      </c>
      <c r="O62" s="1885" t="s">
        <v>1046</v>
      </c>
      <c r="P62" s="1886" t="s">
        <v>1575</v>
      </c>
      <c r="Q62" s="1887">
        <f ca="1">Q56+Q57</f>
        <v>970</v>
      </c>
      <c r="R62" s="1887" t="s">
        <v>1047</v>
      </c>
    </row>
    <row r="63" spans="1:18" s="1843" customFormat="1" ht="13.5" thickBot="1">
      <c r="A63" s="372"/>
      <c r="B63" s="1177"/>
      <c r="C63" s="29"/>
      <c r="D63" s="1187"/>
      <c r="E63" s="1171" t="s">
        <v>1499</v>
      </c>
      <c r="F63" s="348">
        <f t="shared" ca="1" si="0"/>
        <v>577.58000000000004</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5.3</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0.5</v>
      </c>
      <c r="D65" s="1185" t="s">
        <v>1454</v>
      </c>
      <c r="E65" s="1171" t="s">
        <v>1455</v>
      </c>
      <c r="F65" s="376">
        <f t="shared" ca="1" si="0"/>
        <v>1.5E-3</v>
      </c>
      <c r="I65" s="1930" t="s">
        <v>1579</v>
      </c>
      <c r="J65" s="1931">
        <v>40</v>
      </c>
      <c r="K65" s="1931">
        <v>30</v>
      </c>
      <c r="L65" s="1931">
        <v>50</v>
      </c>
      <c r="M65" s="1933">
        <v>0.02</v>
      </c>
      <c r="O65" s="1885" t="s">
        <v>1040</v>
      </c>
      <c r="P65" s="1886" t="s">
        <v>1580</v>
      </c>
      <c r="Q65" s="1887">
        <f ca="1">C40+J29</f>
        <v>970</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-9</v>
      </c>
      <c r="D67" s="1184" t="s">
        <v>1464</v>
      </c>
      <c r="E67" s="1189"/>
      <c r="F67" s="1190"/>
      <c r="O67" s="1895" t="s">
        <v>1042</v>
      </c>
      <c r="P67" s="1886" t="s">
        <v>1562</v>
      </c>
      <c r="Q67" s="1934">
        <f ca="1">L51</f>
        <v>394</v>
      </c>
      <c r="R67" s="1887" t="s">
        <v>1582</v>
      </c>
    </row>
    <row r="68" spans="1:18" s="1843" customFormat="1" ht="16.5" thickBot="1">
      <c r="A68" s="1168" t="s">
        <v>1032</v>
      </c>
      <c r="B68" s="1169" t="s">
        <v>1485</v>
      </c>
      <c r="C68" s="346">
        <f ca="1">ROUND(C67*(1-((1+F70)/(1+F68))^F69)/(F68-F70),0)</f>
        <v>-155</v>
      </c>
      <c r="D68" s="1186" t="s">
        <v>1469</v>
      </c>
      <c r="E68" s="1171" t="s">
        <v>1470</v>
      </c>
      <c r="F68" s="357">
        <f ca="1">F40</f>
        <v>5.5E-2</v>
      </c>
      <c r="O68" s="1895" t="s">
        <v>1043</v>
      </c>
      <c r="P68" s="1935" t="s">
        <v>1583</v>
      </c>
      <c r="Q68" s="1887">
        <f ca="1">ROUND(Q69-Q70*Q71,0)</f>
        <v>22</v>
      </c>
      <c r="R68" s="1887" t="s">
        <v>1051</v>
      </c>
    </row>
    <row r="69" spans="1:18" s="1843" customFormat="1" ht="13.5" thickBot="1">
      <c r="A69" s="1172"/>
      <c r="B69" s="1173"/>
      <c r="C69" s="351"/>
      <c r="D69" s="1191" t="s">
        <v>1473</v>
      </c>
      <c r="E69" s="1171" t="s">
        <v>1474</v>
      </c>
      <c r="F69" s="379">
        <f ca="1">F41</f>
        <v>55</v>
      </c>
      <c r="O69" s="1895" t="s">
        <v>1048</v>
      </c>
      <c r="P69" s="1935" t="s">
        <v>1584</v>
      </c>
      <c r="Q69" s="1887">
        <f ca="1">C39</f>
        <v>48</v>
      </c>
      <c r="R69" s="1887" t="s">
        <v>1529</v>
      </c>
    </row>
    <row r="70" spans="1:18" s="1843" customFormat="1" ht="13.5" thickBot="1">
      <c r="A70" s="1175"/>
      <c r="B70" s="1176"/>
      <c r="C70" s="355"/>
      <c r="D70" s="1187"/>
      <c r="E70" s="1171" t="s">
        <v>1477</v>
      </c>
      <c r="F70" s="1277"/>
      <c r="O70" s="1895" t="s">
        <v>1049</v>
      </c>
      <c r="P70" s="1935" t="s">
        <v>1585</v>
      </c>
      <c r="Q70" s="1887">
        <f ca="1">C13</f>
        <v>323</v>
      </c>
      <c r="R70" s="1887" t="s">
        <v>1529</v>
      </c>
    </row>
    <row r="71" spans="1:18" s="1843" customFormat="1" ht="13.5" thickBot="1">
      <c r="A71" s="1192" t="s">
        <v>1033</v>
      </c>
      <c r="B71" s="1193" t="s">
        <v>1487</v>
      </c>
      <c r="C71" s="382">
        <f ca="1">ROUND(C68*10000/F71,0)</f>
        <v>-2661</v>
      </c>
      <c r="D71" s="1194" t="s">
        <v>1488</v>
      </c>
      <c r="E71" s="1195" t="s">
        <v>1489</v>
      </c>
      <c r="F71" s="385">
        <f ca="1">F43</f>
        <v>582.44000000000005</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26</v>
      </c>
      <c r="D75" s="1843"/>
      <c r="E75" s="1843"/>
      <c r="F75" s="1843"/>
      <c r="K75" s="1869"/>
      <c r="L75" s="1843"/>
      <c r="O75" s="1885" t="s">
        <v>1046</v>
      </c>
      <c r="P75" s="1886" t="s">
        <v>1549</v>
      </c>
      <c r="Q75" s="1887">
        <f ca="1">Q65+Q66</f>
        <v>970</v>
      </c>
      <c r="R75" s="1887" t="s">
        <v>1047</v>
      </c>
    </row>
    <row r="76" spans="1:18">
      <c r="B76" s="388" t="s">
        <v>1507</v>
      </c>
      <c r="C76" s="389">
        <f ca="1">INDIRECT("'数据-取费表'!j"&amp;$G$1)</f>
        <v>0.08</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0.45799999999999996</v>
      </c>
    </row>
    <row r="80" spans="1:18">
      <c r="B80" s="386" t="s">
        <v>1511</v>
      </c>
      <c r="C80" s="318">
        <f ca="1">ROUND(C75/C39,3)</f>
        <v>0.54200000000000004</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F36" sqref="F36"/>
      <selection pane="bottomLeft" activeCell="T26" sqref="T26"/>
    </sheetView>
  </sheetViews>
  <sheetFormatPr defaultRowHeight="12.75"/>
  <cols>
    <col min="1" max="1" width="33"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52" t="s">
        <v>2999</v>
      </c>
      <c r="D1" s="3253"/>
      <c r="E1" s="3253"/>
      <c r="F1" s="3253"/>
      <c r="G1" s="3253"/>
      <c r="H1" s="3253"/>
      <c r="I1" s="3253"/>
      <c r="J1" s="3253"/>
      <c r="K1" s="3253"/>
      <c r="L1" s="3253"/>
      <c r="M1" s="3253"/>
      <c r="N1" s="3253"/>
      <c r="O1" s="3253"/>
      <c r="P1" s="3253"/>
      <c r="Q1" s="3253"/>
      <c r="R1" s="3253"/>
      <c r="S1" s="3254"/>
      <c r="T1" s="1206" t="s">
        <v>3000</v>
      </c>
    </row>
    <row r="2" spans="1:45" s="707" customFormat="1" ht="38.25">
      <c r="A2" s="1207"/>
      <c r="B2" s="703" t="s">
        <v>3001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'比较法-住宅'!D103</f>
        <v>200</v>
      </c>
      <c r="E3" s="709">
        <f>'比较法-住宅'!E103</f>
        <v>400</v>
      </c>
      <c r="F3" s="709">
        <f>'比较法-住宅'!F103</f>
        <v>600</v>
      </c>
      <c r="G3" s="709">
        <f>'比较法-住宅'!G103</f>
        <v>800</v>
      </c>
      <c r="H3" s="709">
        <f>'比较法-住宅'!H103</f>
        <v>1000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'比较法-住宅'!C104</f>
        <v>96</v>
      </c>
      <c r="D4" s="1212">
        <f>'比较法-住宅'!D104</f>
        <v>98</v>
      </c>
      <c r="E4" s="1212">
        <f>'比较法-住宅'!E104</f>
        <v>100</v>
      </c>
      <c r="F4" s="1212">
        <f>'比较法-住宅'!F104</f>
        <v>98</v>
      </c>
      <c r="G4" s="1212">
        <f>'比较法-住宅'!G104</f>
        <v>96</v>
      </c>
      <c r="H4" s="1212">
        <f>'比较法-住宅'!H104</f>
        <v>94</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70" t="s">
        <v>3190</v>
      </c>
      <c r="C5" s="2971" t="s">
        <v>3184</v>
      </c>
      <c r="D5" s="2972" t="s">
        <v>3188</v>
      </c>
      <c r="E5" s="1219"/>
      <c r="F5" s="1713"/>
      <c r="G5" s="1713"/>
      <c r="H5" s="1713"/>
      <c r="I5" s="1713"/>
      <c r="J5" s="1713"/>
      <c r="K5" s="1713"/>
      <c r="L5" s="1714"/>
      <c r="M5" s="1715"/>
      <c r="N5" s="1715"/>
      <c r="O5" s="1713"/>
      <c r="P5" s="1713"/>
      <c r="Q5" s="1713"/>
      <c r="R5" s="1713"/>
      <c r="S5" s="1716"/>
      <c r="T5" s="1221">
        <f>'比较法-住宅'!C131-'比较法-住宅'!D131</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73" t="s">
        <v>3192</v>
      </c>
      <c r="C7" s="2974" t="s">
        <v>3170</v>
      </c>
      <c r="D7" s="2975" t="s">
        <v>3193</v>
      </c>
      <c r="E7" s="2975" t="s">
        <v>3172</v>
      </c>
      <c r="F7" s="2976" t="s">
        <v>3194</v>
      </c>
      <c r="G7" s="1718"/>
      <c r="H7" s="1718"/>
      <c r="I7" s="1718"/>
      <c r="J7" s="1718"/>
      <c r="K7" s="1718"/>
      <c r="L7" s="1718"/>
      <c r="M7" s="1719"/>
      <c r="N7" s="1720"/>
      <c r="O7" s="1721"/>
      <c r="P7" s="1722"/>
      <c r="Q7" s="1723"/>
      <c r="R7" s="1724"/>
      <c r="S7" s="1725"/>
      <c r="T7" s="712">
        <f>'比较法-住宅'!K42</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8">D8-$T7</f>
        <v>94</v>
      </c>
      <c r="F8" s="1717">
        <f t="shared" si="8"/>
        <v>91</v>
      </c>
      <c r="G8" s="1717">
        <f t="shared" si="8"/>
        <v>88</v>
      </c>
      <c r="H8" s="1717">
        <f t="shared" si="8"/>
        <v>85</v>
      </c>
      <c r="I8" s="1717">
        <f t="shared" si="8"/>
        <v>82</v>
      </c>
      <c r="J8" s="1717">
        <f t="shared" si="8"/>
        <v>79</v>
      </c>
      <c r="K8" s="1717">
        <f t="shared" si="8"/>
        <v>76</v>
      </c>
      <c r="L8" s="1717">
        <f t="shared" si="8"/>
        <v>73</v>
      </c>
      <c r="M8" s="1717">
        <f t="shared" si="8"/>
        <v>70</v>
      </c>
      <c r="N8" s="1717">
        <f t="shared" si="8"/>
        <v>67</v>
      </c>
      <c r="O8" s="1717">
        <f t="shared" si="8"/>
        <v>64</v>
      </c>
      <c r="P8" s="1717">
        <f t="shared" si="8"/>
        <v>61</v>
      </c>
      <c r="Q8" s="1717">
        <f t="shared" si="8"/>
        <v>58</v>
      </c>
      <c r="R8" s="1717">
        <f t="shared" si="8"/>
        <v>55</v>
      </c>
      <c r="S8" s="1717">
        <f t="shared" si="8"/>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2982" t="s">
        <v>3198</v>
      </c>
      <c r="C9" s="1123">
        <v>2018</v>
      </c>
      <c r="D9" s="1117">
        <v>2017</v>
      </c>
      <c r="E9" s="1117">
        <v>2016</v>
      </c>
      <c r="F9" s="1718">
        <v>2015</v>
      </c>
      <c r="G9" s="1718">
        <v>2014</v>
      </c>
      <c r="H9" s="1718">
        <v>2013</v>
      </c>
      <c r="I9" s="1718"/>
      <c r="J9" s="1718"/>
      <c r="K9" s="1718"/>
      <c r="L9" s="1726"/>
      <c r="M9" s="1719"/>
      <c r="N9" s="1720"/>
      <c r="O9" s="1721"/>
      <c r="P9" s="1722"/>
      <c r="Q9" s="1723"/>
      <c r="R9" s="1724"/>
      <c r="S9" s="1725"/>
      <c r="T9" s="712">
        <v>1</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99</v>
      </c>
      <c r="E10" s="1223">
        <f t="shared" ref="E10:S10" si="9">D10-$T9</f>
        <v>98</v>
      </c>
      <c r="F10" s="1727">
        <f t="shared" si="9"/>
        <v>97</v>
      </c>
      <c r="G10" s="1727">
        <f t="shared" si="9"/>
        <v>96</v>
      </c>
      <c r="H10" s="1727">
        <f t="shared" si="9"/>
        <v>95</v>
      </c>
      <c r="I10" s="1727">
        <f t="shared" si="9"/>
        <v>94</v>
      </c>
      <c r="J10" s="1727">
        <f t="shared" si="9"/>
        <v>93</v>
      </c>
      <c r="K10" s="1727">
        <f t="shared" si="9"/>
        <v>92</v>
      </c>
      <c r="L10" s="1727">
        <f t="shared" si="9"/>
        <v>91</v>
      </c>
      <c r="M10" s="1727">
        <f t="shared" si="9"/>
        <v>90</v>
      </c>
      <c r="N10" s="1727">
        <f t="shared" si="9"/>
        <v>89</v>
      </c>
      <c r="O10" s="1727">
        <f t="shared" si="9"/>
        <v>88</v>
      </c>
      <c r="P10" s="1727">
        <f t="shared" si="9"/>
        <v>87</v>
      </c>
      <c r="Q10" s="1727">
        <f t="shared" si="9"/>
        <v>86</v>
      </c>
      <c r="R10" s="1727">
        <f t="shared" si="9"/>
        <v>85</v>
      </c>
      <c r="S10" s="1727">
        <f t="shared" si="9"/>
        <v>84</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3005</v>
      </c>
      <c r="B17" s="2914" t="s">
        <v>3006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3007</v>
      </c>
      <c r="E19" s="1793"/>
      <c r="F19" s="1793"/>
      <c r="G19" s="1793"/>
      <c r="H19" s="1282"/>
      <c r="I19" s="168"/>
      <c r="J19" s="168"/>
      <c r="K19" s="168"/>
      <c r="L19" s="168"/>
      <c r="M19" s="168"/>
      <c r="N19" s="168"/>
      <c r="O19" s="168"/>
      <c r="P19" s="168"/>
      <c r="Q19" s="168"/>
      <c r="R19" s="787"/>
      <c r="S19" s="138"/>
    </row>
    <row r="20" spans="1:45" ht="16.5" thickBot="1">
      <c r="A20" s="714" t="s">
        <v>3008</v>
      </c>
      <c r="B20" s="338" t="e">
        <f ca="1">IF(D20="——",S22,S22-F20)</f>
        <v>#REF!</v>
      </c>
      <c r="C20" s="168"/>
      <c r="D20" s="2916" t="s">
        <v>3009</v>
      </c>
      <c r="E20" s="1794"/>
      <c r="F20" s="1206" t="e">
        <f ca="1">SUMIF(INDIRECT("'"&amp;H20&amp;"'"&amp;"!A:A"),"承租人权益价值",INDIRECT("'"&amp;H20&amp;"'"&amp;"!c:c"))</f>
        <v>#REF!</v>
      </c>
      <c r="G20" s="1206" t="s">
        <v>3010</v>
      </c>
      <c r="H20" s="2917"/>
      <c r="I20" s="168"/>
      <c r="J20" s="168"/>
      <c r="K20" s="168"/>
      <c r="L20" s="168"/>
      <c r="M20" s="168"/>
      <c r="N20" s="168"/>
      <c r="O20" s="168"/>
      <c r="P20" s="168"/>
      <c r="Q20" s="168"/>
      <c r="R20" s="787"/>
      <c r="S20" s="138"/>
    </row>
    <row r="21" spans="1:45" ht="15.75">
      <c r="A21" s="714" t="s">
        <v>3011</v>
      </c>
      <c r="B21" s="338">
        <f ca="1">R22</f>
        <v>15613</v>
      </c>
      <c r="C21" s="168"/>
      <c r="D21" s="168"/>
      <c r="E21" s="168"/>
      <c r="F21" s="168"/>
      <c r="G21" s="168"/>
      <c r="H21" s="168"/>
      <c r="I21" s="168"/>
      <c r="J21" s="168"/>
      <c r="K21" s="168"/>
      <c r="L21" s="168"/>
      <c r="M21" s="168"/>
      <c r="N21" s="168"/>
      <c r="O21" s="168"/>
      <c r="P21" s="168"/>
      <c r="Q21" s="168"/>
      <c r="R21" s="787"/>
      <c r="S21" s="138"/>
    </row>
    <row r="22" spans="1:45">
      <c r="A22" s="361" t="s">
        <v>3012</v>
      </c>
      <c r="B22" s="24">
        <f>SUM(B24:B10000)</f>
        <v>4569.1499999999996</v>
      </c>
      <c r="C22" s="3084" t="s">
        <v>33</v>
      </c>
      <c r="D22" s="3085"/>
      <c r="E22" s="3085"/>
      <c r="F22" s="3085"/>
      <c r="G22" s="3085"/>
      <c r="H22" s="3085"/>
      <c r="I22" s="3085"/>
      <c r="J22" s="3085"/>
      <c r="K22" s="3085"/>
      <c r="L22" s="3085"/>
      <c r="M22" s="3085"/>
      <c r="N22" s="3085"/>
      <c r="O22" s="3085"/>
      <c r="P22" s="3085"/>
      <c r="Q22" s="3251"/>
      <c r="R22" s="715">
        <f ca="1">ROUND(S22*10000/B22,0)</f>
        <v>15613</v>
      </c>
      <c r="S22" s="24">
        <f ca="1">SUM(S24:S10000)</f>
        <v>7134</v>
      </c>
    </row>
    <row r="23" spans="1:45" s="12" customFormat="1" ht="24">
      <c r="A23" s="11" t="s">
        <v>3013</v>
      </c>
      <c r="B23" s="11" t="s">
        <v>3014</v>
      </c>
      <c r="C23" s="11" t="s">
        <v>3015</v>
      </c>
      <c r="D23" s="11" t="str">
        <f>B5</f>
        <v>是否有水系</v>
      </c>
      <c r="E23" s="11" t="s">
        <v>3015</v>
      </c>
      <c r="F23" s="11" t="str">
        <f>B7</f>
        <v>装修</v>
      </c>
      <c r="G23" s="11" t="s">
        <v>3015</v>
      </c>
      <c r="H23" s="11" t="str">
        <f>B9</f>
        <v>建成年代</v>
      </c>
      <c r="I23" s="11" t="s">
        <v>3015</v>
      </c>
      <c r="J23" s="11" t="str">
        <f>B11</f>
        <v>修正项5</v>
      </c>
      <c r="K23" s="11" t="s">
        <v>3015</v>
      </c>
      <c r="L23" s="11" t="str">
        <f>B13</f>
        <v>修正项6</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从化市温泉镇明月山溪大道明月里二街1号</v>
      </c>
      <c r="B24" s="717">
        <f>面积表!G2</f>
        <v>582.44000000000005</v>
      </c>
      <c r="C24" s="718">
        <v>1</v>
      </c>
      <c r="D24" s="719" t="s">
        <v>3056</v>
      </c>
      <c r="E24" s="718">
        <v>1</v>
      </c>
      <c r="F24" s="719" t="s">
        <v>3141</v>
      </c>
      <c r="G24" s="718">
        <v>1</v>
      </c>
      <c r="H24" s="719">
        <v>2013</v>
      </c>
      <c r="I24" s="718">
        <v>1</v>
      </c>
      <c r="J24" s="719"/>
      <c r="K24" s="718">
        <v>1</v>
      </c>
      <c r="L24" s="719"/>
      <c r="M24" s="718">
        <v>1</v>
      </c>
      <c r="N24" s="719"/>
      <c r="O24" s="718">
        <v>1</v>
      </c>
      <c r="P24" s="719"/>
      <c r="Q24" s="718">
        <v>1</v>
      </c>
      <c r="R24" s="720">
        <f ca="1">结果表!G20</f>
        <v>17025</v>
      </c>
      <c r="S24" s="718">
        <f t="shared" ref="S24:S54" ca="1" si="11">ROUND(R24*B24/10000,0)</f>
        <v>992</v>
      </c>
      <c r="T24" s="799"/>
      <c r="U24" s="799"/>
      <c r="V24" s="799">
        <f>$U$25*B24/10000</f>
        <v>990.14800000000002</v>
      </c>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从化市温泉镇明月山溪大道明月里一街18号</v>
      </c>
      <c r="B25" s="717">
        <f>面积表!G3</f>
        <v>539.39</v>
      </c>
      <c r="C25" s="24">
        <f>IF(B25="",1,(LOOKUP(B25,$3:$3,$4:$4)-LOOKUP($B$24,$3:$3,$4:$4)+100)/100)</f>
        <v>1</v>
      </c>
      <c r="D25" s="719" t="s">
        <v>3056</v>
      </c>
      <c r="E25" s="24">
        <f>(SUMIF($5:$5,D25,$6:$6)-SUMIF($5:$5,$D$24,$6:$6)+100)/100</f>
        <v>1</v>
      </c>
      <c r="F25" s="719" t="s">
        <v>3141</v>
      </c>
      <c r="G25" s="24">
        <f>(SUMIF($7:$7,F25,$8:$8)-SUMIF($7:$7,$F$24,$8:$8)+100)/100</f>
        <v>1</v>
      </c>
      <c r="H25" s="719">
        <v>2013</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17025</v>
      </c>
      <c r="S25" s="361">
        <f t="shared" ca="1" si="11"/>
        <v>918</v>
      </c>
      <c r="U25" s="794">
        <v>17000</v>
      </c>
      <c r="V25" s="799">
        <f>$U$25*B25/10000</f>
        <v>916.96299999999997</v>
      </c>
    </row>
    <row r="26" spans="1:45">
      <c r="A26" s="717" t="str">
        <f>面积表!B4</f>
        <v>从化市温泉镇明月山溪大道明月里一街3号</v>
      </c>
      <c r="B26" s="717">
        <f>面积表!G4</f>
        <v>861.83</v>
      </c>
      <c r="C26" s="24">
        <f t="shared" ref="C26:C89" si="12">IF(B26="",1,(LOOKUP(B26,$3:$3,$4:$4)-LOOKUP($B$24,$3:$3,$4:$4)+100)/100)</f>
        <v>0.96</v>
      </c>
      <c r="D26" s="719" t="s">
        <v>3067</v>
      </c>
      <c r="E26" s="24">
        <f t="shared" ref="E26:E89" si="13">(SUMIF($5:$5,D26,$6:$6)-SUMIF($5:$5,$D$24,$6:$6)+100)/100</f>
        <v>0.97</v>
      </c>
      <c r="F26" s="719" t="s">
        <v>3114</v>
      </c>
      <c r="G26" s="24">
        <f t="shared" ref="G26:G89" si="14">(SUMIF($7:$7,F26,$8:$8)-SUMIF($7:$7,$F$24,$8:$8)+100)/100</f>
        <v>0.91</v>
      </c>
      <c r="H26" s="719">
        <v>2018</v>
      </c>
      <c r="I26" s="24">
        <f t="shared" ref="I26:I89" si="15">(SUMIF($9:$9,H26,$10:$10)-SUMIF($9:$9,$H$24,$10:$10)+100)/100</f>
        <v>1.05</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15148</v>
      </c>
      <c r="S26" s="361">
        <f t="shared" ca="1" si="11"/>
        <v>1306</v>
      </c>
      <c r="U26" s="794">
        <v>15000</v>
      </c>
      <c r="V26" s="794">
        <f>$U$26*B26/10000</f>
        <v>1292.7449999999999</v>
      </c>
    </row>
    <row r="27" spans="1:45">
      <c r="A27" s="717" t="str">
        <f>面积表!B5</f>
        <v>从化市温泉镇明月山溪大道明月里一街5号</v>
      </c>
      <c r="B27" s="717">
        <f>面积表!G5</f>
        <v>861.83</v>
      </c>
      <c r="C27" s="24">
        <f t="shared" si="12"/>
        <v>0.96</v>
      </c>
      <c r="D27" s="719" t="s">
        <v>3067</v>
      </c>
      <c r="E27" s="24">
        <f t="shared" si="13"/>
        <v>0.97</v>
      </c>
      <c r="F27" s="719" t="s">
        <v>3114</v>
      </c>
      <c r="G27" s="24">
        <f t="shared" si="14"/>
        <v>0.91</v>
      </c>
      <c r="H27" s="719">
        <v>2018</v>
      </c>
      <c r="I27" s="24">
        <f t="shared" si="15"/>
        <v>1.05</v>
      </c>
      <c r="J27" s="719"/>
      <c r="K27" s="24">
        <f t="shared" si="16"/>
        <v>1</v>
      </c>
      <c r="L27" s="719"/>
      <c r="M27" s="24">
        <f t="shared" si="17"/>
        <v>1</v>
      </c>
      <c r="N27" s="719"/>
      <c r="O27" s="24">
        <f t="shared" si="18"/>
        <v>1</v>
      </c>
      <c r="P27" s="719"/>
      <c r="Q27" s="24">
        <f t="shared" si="19"/>
        <v>1</v>
      </c>
      <c r="R27" s="715">
        <f t="shared" ca="1" si="20"/>
        <v>15148</v>
      </c>
      <c r="S27" s="361">
        <f t="shared" ca="1" si="11"/>
        <v>1306</v>
      </c>
      <c r="V27" s="794">
        <f t="shared" ref="V27:V29" si="21">$U$26*B27/10000</f>
        <v>1292.7449999999999</v>
      </c>
    </row>
    <row r="28" spans="1:45">
      <c r="A28" s="717" t="str">
        <f>面积表!B6</f>
        <v>从化市温泉镇明月山溪大道明月里一街7号</v>
      </c>
      <c r="B28" s="717">
        <f>面积表!G6</f>
        <v>861.83</v>
      </c>
      <c r="C28" s="24">
        <f t="shared" si="12"/>
        <v>0.96</v>
      </c>
      <c r="D28" s="719" t="s">
        <v>3067</v>
      </c>
      <c r="E28" s="24">
        <f t="shared" si="13"/>
        <v>0.97</v>
      </c>
      <c r="F28" s="719" t="s">
        <v>3114</v>
      </c>
      <c r="G28" s="24">
        <f t="shared" si="14"/>
        <v>0.91</v>
      </c>
      <c r="H28" s="719">
        <v>2018</v>
      </c>
      <c r="I28" s="24">
        <f t="shared" si="15"/>
        <v>1.05</v>
      </c>
      <c r="J28" s="719"/>
      <c r="K28" s="24">
        <f t="shared" si="16"/>
        <v>1</v>
      </c>
      <c r="L28" s="719"/>
      <c r="M28" s="24">
        <f t="shared" si="17"/>
        <v>1</v>
      </c>
      <c r="N28" s="719"/>
      <c r="O28" s="24">
        <f t="shared" si="18"/>
        <v>1</v>
      </c>
      <c r="P28" s="719"/>
      <c r="Q28" s="24">
        <f t="shared" si="19"/>
        <v>1</v>
      </c>
      <c r="R28" s="715">
        <f t="shared" ca="1" si="20"/>
        <v>15148</v>
      </c>
      <c r="S28" s="361">
        <f t="shared" ca="1" si="11"/>
        <v>1306</v>
      </c>
      <c r="V28" s="794">
        <f t="shared" si="21"/>
        <v>1292.7449999999999</v>
      </c>
    </row>
    <row r="29" spans="1:45">
      <c r="A29" s="717" t="str">
        <f>面积表!B7</f>
        <v>从化市温泉镇明月山溪大道明月里一街9号</v>
      </c>
      <c r="B29" s="717">
        <f>面积表!G7</f>
        <v>861.83</v>
      </c>
      <c r="C29" s="24">
        <f t="shared" si="12"/>
        <v>0.96</v>
      </c>
      <c r="D29" s="719" t="s">
        <v>3067</v>
      </c>
      <c r="E29" s="24">
        <f t="shared" si="13"/>
        <v>0.97</v>
      </c>
      <c r="F29" s="719" t="s">
        <v>3114</v>
      </c>
      <c r="G29" s="24">
        <f t="shared" si="14"/>
        <v>0.91</v>
      </c>
      <c r="H29" s="719">
        <v>2018</v>
      </c>
      <c r="I29" s="24">
        <f t="shared" si="15"/>
        <v>1.05</v>
      </c>
      <c r="J29" s="719"/>
      <c r="K29" s="24">
        <f t="shared" si="16"/>
        <v>1</v>
      </c>
      <c r="L29" s="719"/>
      <c r="M29" s="24">
        <f t="shared" si="17"/>
        <v>1</v>
      </c>
      <c r="N29" s="719"/>
      <c r="O29" s="24">
        <f t="shared" si="18"/>
        <v>1</v>
      </c>
      <c r="P29" s="719"/>
      <c r="Q29" s="24">
        <f t="shared" si="19"/>
        <v>1</v>
      </c>
      <c r="R29" s="715">
        <f t="shared" ca="1" si="20"/>
        <v>15148</v>
      </c>
      <c r="S29" s="361">
        <f t="shared" ca="1" si="11"/>
        <v>1306</v>
      </c>
      <c r="V29" s="794">
        <f t="shared" si="21"/>
        <v>1292.7449999999999</v>
      </c>
    </row>
    <row r="30" spans="1:45">
      <c r="A30" s="717"/>
      <c r="B30" s="717"/>
      <c r="C30" s="24">
        <f t="shared" si="12"/>
        <v>1</v>
      </c>
      <c r="D30" s="719"/>
      <c r="E30" s="24">
        <f t="shared" si="13"/>
        <v>0</v>
      </c>
      <c r="F30" s="719"/>
      <c r="G30" s="24">
        <f t="shared" si="14"/>
        <v>0</v>
      </c>
      <c r="H30" s="719"/>
      <c r="I30" s="24">
        <f t="shared" si="15"/>
        <v>0.05</v>
      </c>
      <c r="J30" s="719"/>
      <c r="K30" s="24">
        <f t="shared" si="16"/>
        <v>1</v>
      </c>
      <c r="L30" s="719"/>
      <c r="M30" s="24">
        <f t="shared" si="17"/>
        <v>1</v>
      </c>
      <c r="N30" s="719"/>
      <c r="O30" s="24">
        <f t="shared" si="18"/>
        <v>1</v>
      </c>
      <c r="P30" s="719"/>
      <c r="Q30" s="24">
        <f t="shared" si="19"/>
        <v>1</v>
      </c>
      <c r="R30" s="715">
        <f t="shared" si="20"/>
        <v>0</v>
      </c>
      <c r="S30" s="361">
        <f t="shared" si="11"/>
        <v>0</v>
      </c>
      <c r="V30" s="794">
        <f>V24+V25+V26+V27+V28+V29</f>
        <v>7078.0909999999994</v>
      </c>
    </row>
    <row r="31" spans="1:45">
      <c r="A31" s="717"/>
      <c r="B31" s="717"/>
      <c r="C31" s="24">
        <f t="shared" si="12"/>
        <v>1</v>
      </c>
      <c r="D31" s="719"/>
      <c r="E31" s="24">
        <f t="shared" si="13"/>
        <v>0</v>
      </c>
      <c r="F31" s="719"/>
      <c r="G31" s="24">
        <f t="shared" si="14"/>
        <v>0</v>
      </c>
      <c r="H31" s="719"/>
      <c r="I31" s="24">
        <f t="shared" si="15"/>
        <v>0.05</v>
      </c>
      <c r="J31" s="719"/>
      <c r="K31" s="24">
        <f t="shared" si="16"/>
        <v>1</v>
      </c>
      <c r="L31" s="719"/>
      <c r="M31" s="24">
        <f t="shared" si="17"/>
        <v>1</v>
      </c>
      <c r="N31" s="719"/>
      <c r="O31" s="24">
        <f t="shared" si="18"/>
        <v>1</v>
      </c>
      <c r="P31" s="719"/>
      <c r="Q31" s="24">
        <f t="shared" si="19"/>
        <v>1</v>
      </c>
      <c r="R31" s="715">
        <f t="shared" si="20"/>
        <v>0</v>
      </c>
      <c r="S31" s="361">
        <f t="shared" si="11"/>
        <v>0</v>
      </c>
    </row>
    <row r="32" spans="1:45">
      <c r="A32" s="717"/>
      <c r="B32" s="717"/>
      <c r="C32" s="24">
        <f t="shared" si="12"/>
        <v>1</v>
      </c>
      <c r="D32" s="719"/>
      <c r="E32" s="24">
        <f t="shared" si="13"/>
        <v>0</v>
      </c>
      <c r="F32" s="719"/>
      <c r="G32" s="24">
        <f t="shared" si="14"/>
        <v>0</v>
      </c>
      <c r="H32" s="719"/>
      <c r="I32" s="24">
        <f t="shared" si="15"/>
        <v>0.05</v>
      </c>
      <c r="J32" s="719"/>
      <c r="K32" s="24">
        <f t="shared" si="16"/>
        <v>1</v>
      </c>
      <c r="L32" s="719"/>
      <c r="M32" s="24">
        <f t="shared" si="17"/>
        <v>1</v>
      </c>
      <c r="N32" s="719"/>
      <c r="O32" s="24">
        <f t="shared" si="18"/>
        <v>1</v>
      </c>
      <c r="P32" s="719"/>
      <c r="Q32" s="24">
        <f t="shared" si="19"/>
        <v>1</v>
      </c>
      <c r="R32" s="715">
        <f t="shared" si="20"/>
        <v>0</v>
      </c>
      <c r="S32" s="361">
        <f t="shared" si="11"/>
        <v>0</v>
      </c>
    </row>
    <row r="33" spans="1:19">
      <c r="A33" s="717"/>
      <c r="B33" s="717"/>
      <c r="C33" s="24">
        <f t="shared" si="12"/>
        <v>1</v>
      </c>
      <c r="D33" s="719"/>
      <c r="E33" s="24">
        <f t="shared" si="13"/>
        <v>0</v>
      </c>
      <c r="F33" s="719"/>
      <c r="G33" s="24">
        <f t="shared" si="14"/>
        <v>0</v>
      </c>
      <c r="H33" s="719"/>
      <c r="I33" s="24">
        <f t="shared" si="15"/>
        <v>0.05</v>
      </c>
      <c r="J33" s="719"/>
      <c r="K33" s="24">
        <f t="shared" si="16"/>
        <v>1</v>
      </c>
      <c r="L33" s="719"/>
      <c r="M33" s="24">
        <f t="shared" si="17"/>
        <v>1</v>
      </c>
      <c r="N33" s="719"/>
      <c r="O33" s="24">
        <f t="shared" si="18"/>
        <v>1</v>
      </c>
      <c r="P33" s="719"/>
      <c r="Q33" s="24">
        <f t="shared" si="19"/>
        <v>1</v>
      </c>
      <c r="R33" s="715">
        <f t="shared" si="20"/>
        <v>0</v>
      </c>
      <c r="S33" s="361">
        <f t="shared" si="11"/>
        <v>0</v>
      </c>
    </row>
    <row r="34" spans="1:19">
      <c r="A34" s="717"/>
      <c r="B34" s="717"/>
      <c r="C34" s="24">
        <f t="shared" si="12"/>
        <v>1</v>
      </c>
      <c r="D34" s="719"/>
      <c r="E34" s="24">
        <f t="shared" si="13"/>
        <v>0</v>
      </c>
      <c r="F34" s="719"/>
      <c r="G34" s="24">
        <f t="shared" si="14"/>
        <v>0</v>
      </c>
      <c r="H34" s="719"/>
      <c r="I34" s="24">
        <f t="shared" si="15"/>
        <v>0.05</v>
      </c>
      <c r="J34" s="719"/>
      <c r="K34" s="24">
        <f t="shared" si="16"/>
        <v>1</v>
      </c>
      <c r="L34" s="719"/>
      <c r="M34" s="24">
        <f t="shared" si="17"/>
        <v>1</v>
      </c>
      <c r="N34" s="719"/>
      <c r="O34" s="24">
        <f t="shared" si="18"/>
        <v>1</v>
      </c>
      <c r="P34" s="719"/>
      <c r="Q34" s="24">
        <f t="shared" si="19"/>
        <v>1</v>
      </c>
      <c r="R34" s="715">
        <f t="shared" si="20"/>
        <v>0</v>
      </c>
      <c r="S34" s="361">
        <f t="shared" si="11"/>
        <v>0</v>
      </c>
    </row>
    <row r="35" spans="1:19">
      <c r="A35" s="717"/>
      <c r="B35" s="717"/>
      <c r="C35" s="24">
        <f t="shared" si="12"/>
        <v>1</v>
      </c>
      <c r="D35" s="719"/>
      <c r="E35" s="24">
        <f t="shared" si="13"/>
        <v>0</v>
      </c>
      <c r="F35" s="719"/>
      <c r="G35" s="24">
        <f t="shared" si="14"/>
        <v>0</v>
      </c>
      <c r="H35" s="719"/>
      <c r="I35" s="24">
        <f t="shared" si="15"/>
        <v>0.05</v>
      </c>
      <c r="J35" s="719"/>
      <c r="K35" s="24">
        <f t="shared" si="16"/>
        <v>1</v>
      </c>
      <c r="L35" s="719"/>
      <c r="M35" s="24">
        <f t="shared" si="17"/>
        <v>1</v>
      </c>
      <c r="N35" s="719"/>
      <c r="O35" s="24">
        <f t="shared" si="18"/>
        <v>1</v>
      </c>
      <c r="P35" s="719"/>
      <c r="Q35" s="24">
        <f t="shared" si="19"/>
        <v>1</v>
      </c>
      <c r="R35" s="715">
        <f t="shared" si="20"/>
        <v>0</v>
      </c>
      <c r="S35" s="361">
        <f t="shared" si="11"/>
        <v>0</v>
      </c>
    </row>
    <row r="36" spans="1:19">
      <c r="A36" s="717"/>
      <c r="B36" s="717"/>
      <c r="C36" s="24">
        <f t="shared" si="12"/>
        <v>1</v>
      </c>
      <c r="D36" s="719"/>
      <c r="E36" s="24">
        <f t="shared" si="13"/>
        <v>0</v>
      </c>
      <c r="F36" s="719"/>
      <c r="G36" s="24">
        <f t="shared" si="14"/>
        <v>0</v>
      </c>
      <c r="H36" s="719"/>
      <c r="I36" s="24">
        <f t="shared" si="15"/>
        <v>0.05</v>
      </c>
      <c r="J36" s="719"/>
      <c r="K36" s="24">
        <f t="shared" si="16"/>
        <v>1</v>
      </c>
      <c r="L36" s="719"/>
      <c r="M36" s="24">
        <f t="shared" si="17"/>
        <v>1</v>
      </c>
      <c r="N36" s="719"/>
      <c r="O36" s="24">
        <f t="shared" si="18"/>
        <v>1</v>
      </c>
      <c r="P36" s="719"/>
      <c r="Q36" s="24">
        <f t="shared" si="19"/>
        <v>1</v>
      </c>
      <c r="R36" s="715">
        <f t="shared" si="20"/>
        <v>0</v>
      </c>
      <c r="S36" s="361">
        <f t="shared" si="11"/>
        <v>0</v>
      </c>
    </row>
    <row r="37" spans="1:19">
      <c r="A37" s="717"/>
      <c r="B37" s="717"/>
      <c r="C37" s="24">
        <f t="shared" si="12"/>
        <v>1</v>
      </c>
      <c r="D37" s="719"/>
      <c r="E37" s="24">
        <f t="shared" si="13"/>
        <v>0</v>
      </c>
      <c r="F37" s="719"/>
      <c r="G37" s="24">
        <f t="shared" si="14"/>
        <v>0</v>
      </c>
      <c r="H37" s="719"/>
      <c r="I37" s="24">
        <f t="shared" si="15"/>
        <v>0.05</v>
      </c>
      <c r="J37" s="719"/>
      <c r="K37" s="24">
        <f t="shared" si="16"/>
        <v>1</v>
      </c>
      <c r="L37" s="719"/>
      <c r="M37" s="24">
        <f t="shared" si="17"/>
        <v>1</v>
      </c>
      <c r="N37" s="719"/>
      <c r="O37" s="24">
        <f t="shared" si="18"/>
        <v>1</v>
      </c>
      <c r="P37" s="719"/>
      <c r="Q37" s="24">
        <f t="shared" si="19"/>
        <v>1</v>
      </c>
      <c r="R37" s="715">
        <f t="shared" si="20"/>
        <v>0</v>
      </c>
      <c r="S37" s="361">
        <f t="shared" si="11"/>
        <v>0</v>
      </c>
    </row>
    <row r="38" spans="1:19">
      <c r="A38" s="717"/>
      <c r="B38" s="717"/>
      <c r="C38" s="24">
        <f t="shared" si="12"/>
        <v>1</v>
      </c>
      <c r="D38" s="719"/>
      <c r="E38" s="24">
        <f t="shared" si="13"/>
        <v>0</v>
      </c>
      <c r="F38" s="719"/>
      <c r="G38" s="24">
        <f t="shared" si="14"/>
        <v>0</v>
      </c>
      <c r="H38" s="719"/>
      <c r="I38" s="24">
        <f t="shared" si="15"/>
        <v>0.05</v>
      </c>
      <c r="J38" s="719"/>
      <c r="K38" s="24">
        <f t="shared" si="16"/>
        <v>1</v>
      </c>
      <c r="L38" s="719"/>
      <c r="M38" s="24">
        <f t="shared" si="17"/>
        <v>1</v>
      </c>
      <c r="N38" s="719"/>
      <c r="O38" s="24">
        <f t="shared" si="18"/>
        <v>1</v>
      </c>
      <c r="P38" s="719"/>
      <c r="Q38" s="24">
        <f t="shared" si="19"/>
        <v>1</v>
      </c>
      <c r="R38" s="715">
        <f t="shared" si="20"/>
        <v>0</v>
      </c>
      <c r="S38" s="361">
        <f t="shared" si="11"/>
        <v>0</v>
      </c>
    </row>
    <row r="39" spans="1:19">
      <c r="A39" s="717"/>
      <c r="B39" s="717"/>
      <c r="C39" s="24">
        <f t="shared" si="12"/>
        <v>1</v>
      </c>
      <c r="D39" s="719"/>
      <c r="E39" s="24">
        <f t="shared" si="13"/>
        <v>0</v>
      </c>
      <c r="F39" s="719"/>
      <c r="G39" s="24">
        <f t="shared" si="14"/>
        <v>0</v>
      </c>
      <c r="H39" s="719"/>
      <c r="I39" s="24">
        <f t="shared" si="15"/>
        <v>0.05</v>
      </c>
      <c r="J39" s="719"/>
      <c r="K39" s="24">
        <f t="shared" si="16"/>
        <v>1</v>
      </c>
      <c r="L39" s="719"/>
      <c r="M39" s="24">
        <f t="shared" si="17"/>
        <v>1</v>
      </c>
      <c r="N39" s="719"/>
      <c r="O39" s="24">
        <f t="shared" si="18"/>
        <v>1</v>
      </c>
      <c r="P39" s="719"/>
      <c r="Q39" s="24">
        <f t="shared" si="19"/>
        <v>1</v>
      </c>
      <c r="R39" s="715">
        <f t="shared" si="20"/>
        <v>0</v>
      </c>
      <c r="S39" s="361">
        <f t="shared" si="11"/>
        <v>0</v>
      </c>
    </row>
    <row r="40" spans="1:19">
      <c r="A40" s="717"/>
      <c r="B40" s="717"/>
      <c r="C40" s="24">
        <f t="shared" si="12"/>
        <v>1</v>
      </c>
      <c r="D40" s="719"/>
      <c r="E40" s="24">
        <f t="shared" si="13"/>
        <v>0</v>
      </c>
      <c r="F40" s="719"/>
      <c r="G40" s="24">
        <f t="shared" si="14"/>
        <v>0</v>
      </c>
      <c r="H40" s="719"/>
      <c r="I40" s="24">
        <f t="shared" si="15"/>
        <v>0.05</v>
      </c>
      <c r="J40" s="719"/>
      <c r="K40" s="24">
        <f t="shared" si="16"/>
        <v>1</v>
      </c>
      <c r="L40" s="719"/>
      <c r="M40" s="24">
        <f t="shared" si="17"/>
        <v>1</v>
      </c>
      <c r="N40" s="719"/>
      <c r="O40" s="24">
        <f t="shared" si="18"/>
        <v>1</v>
      </c>
      <c r="P40" s="719"/>
      <c r="Q40" s="24">
        <f t="shared" si="19"/>
        <v>1</v>
      </c>
      <c r="R40" s="715">
        <f t="shared" si="20"/>
        <v>0</v>
      </c>
      <c r="S40" s="361">
        <f t="shared" si="11"/>
        <v>0</v>
      </c>
    </row>
    <row r="41" spans="1:19">
      <c r="A41" s="717"/>
      <c r="B41" s="717"/>
      <c r="C41" s="24">
        <f t="shared" si="12"/>
        <v>1</v>
      </c>
      <c r="D41" s="719"/>
      <c r="E41" s="24">
        <f t="shared" si="13"/>
        <v>0</v>
      </c>
      <c r="F41" s="719"/>
      <c r="G41" s="24">
        <f t="shared" si="14"/>
        <v>0</v>
      </c>
      <c r="H41" s="719"/>
      <c r="I41" s="24">
        <f t="shared" si="15"/>
        <v>0.05</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v>
      </c>
      <c r="F42" s="719"/>
      <c r="G42" s="24">
        <f t="shared" si="14"/>
        <v>0</v>
      </c>
      <c r="H42" s="719"/>
      <c r="I42" s="24">
        <f t="shared" si="15"/>
        <v>0.05</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v>
      </c>
      <c r="F43" s="719"/>
      <c r="G43" s="24">
        <f t="shared" si="14"/>
        <v>0</v>
      </c>
      <c r="H43" s="719"/>
      <c r="I43" s="24">
        <f t="shared" si="15"/>
        <v>0.05</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v>
      </c>
      <c r="F44" s="719"/>
      <c r="G44" s="24">
        <f t="shared" si="14"/>
        <v>0</v>
      </c>
      <c r="H44" s="719"/>
      <c r="I44" s="24">
        <f t="shared" si="15"/>
        <v>0.05</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v>
      </c>
      <c r="F45" s="719"/>
      <c r="G45" s="24">
        <f t="shared" si="14"/>
        <v>0</v>
      </c>
      <c r="H45" s="719"/>
      <c r="I45" s="24">
        <f t="shared" si="15"/>
        <v>0.05</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v>
      </c>
      <c r="F46" s="719"/>
      <c r="G46" s="24">
        <f t="shared" si="14"/>
        <v>0</v>
      </c>
      <c r="H46" s="719"/>
      <c r="I46" s="24">
        <f t="shared" si="15"/>
        <v>0.05</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v>
      </c>
      <c r="F47" s="719"/>
      <c r="G47" s="24">
        <f t="shared" si="14"/>
        <v>0</v>
      </c>
      <c r="H47" s="719"/>
      <c r="I47" s="24">
        <f t="shared" si="15"/>
        <v>0.05</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v>
      </c>
      <c r="F48" s="719"/>
      <c r="G48" s="24">
        <f t="shared" si="14"/>
        <v>0</v>
      </c>
      <c r="H48" s="719"/>
      <c r="I48" s="24">
        <f t="shared" si="15"/>
        <v>0.05</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v>
      </c>
      <c r="F49" s="719"/>
      <c r="G49" s="24">
        <f t="shared" si="14"/>
        <v>0</v>
      </c>
      <c r="H49" s="719"/>
      <c r="I49" s="24">
        <f t="shared" si="15"/>
        <v>0.05</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v>
      </c>
      <c r="F50" s="719"/>
      <c r="G50" s="24">
        <f t="shared" si="14"/>
        <v>0</v>
      </c>
      <c r="H50" s="719"/>
      <c r="I50" s="24">
        <f t="shared" si="15"/>
        <v>0.05</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v>
      </c>
      <c r="F51" s="719"/>
      <c r="G51" s="24">
        <f t="shared" si="14"/>
        <v>0</v>
      </c>
      <c r="H51" s="719"/>
      <c r="I51" s="24">
        <f t="shared" si="15"/>
        <v>0.05</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v>
      </c>
      <c r="F52" s="719"/>
      <c r="G52" s="24">
        <f t="shared" si="14"/>
        <v>0</v>
      </c>
      <c r="H52" s="719"/>
      <c r="I52" s="24">
        <f t="shared" si="15"/>
        <v>0.05</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v>
      </c>
      <c r="F53" s="719"/>
      <c r="G53" s="24">
        <f t="shared" si="14"/>
        <v>0</v>
      </c>
      <c r="H53" s="719"/>
      <c r="I53" s="24">
        <f t="shared" si="15"/>
        <v>0.05</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v>
      </c>
      <c r="F54" s="719"/>
      <c r="G54" s="24">
        <f t="shared" si="14"/>
        <v>0</v>
      </c>
      <c r="H54" s="719"/>
      <c r="I54" s="24">
        <f t="shared" si="15"/>
        <v>0.05</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v>
      </c>
      <c r="F55" s="719"/>
      <c r="G55" s="24">
        <f t="shared" si="14"/>
        <v>0</v>
      </c>
      <c r="H55" s="719"/>
      <c r="I55" s="24">
        <f t="shared" si="15"/>
        <v>0.05</v>
      </c>
      <c r="J55" s="719"/>
      <c r="K55" s="24">
        <f t="shared" si="16"/>
        <v>1</v>
      </c>
      <c r="L55" s="719"/>
      <c r="M55" s="24">
        <f t="shared" si="17"/>
        <v>1</v>
      </c>
      <c r="N55" s="719"/>
      <c r="O55" s="24">
        <f t="shared" si="18"/>
        <v>1</v>
      </c>
      <c r="P55" s="719"/>
      <c r="Q55" s="24">
        <f t="shared" si="19"/>
        <v>1</v>
      </c>
      <c r="R55" s="715">
        <f t="shared" si="20"/>
        <v>0</v>
      </c>
      <c r="S55" s="361">
        <f t="shared" ref="S55:S77" si="22">ROUND(R55*B55/10000,0)</f>
        <v>0</v>
      </c>
    </row>
    <row r="56" spans="1:19">
      <c r="A56" s="159"/>
      <c r="B56" s="59"/>
      <c r="C56" s="24">
        <f t="shared" si="12"/>
        <v>1</v>
      </c>
      <c r="D56" s="719"/>
      <c r="E56" s="24">
        <f t="shared" si="13"/>
        <v>0</v>
      </c>
      <c r="F56" s="719"/>
      <c r="G56" s="24">
        <f t="shared" si="14"/>
        <v>0</v>
      </c>
      <c r="H56" s="719"/>
      <c r="I56" s="24">
        <f t="shared" si="15"/>
        <v>0.05</v>
      </c>
      <c r="J56" s="719"/>
      <c r="K56" s="24">
        <f t="shared" si="16"/>
        <v>1</v>
      </c>
      <c r="L56" s="719"/>
      <c r="M56" s="24">
        <f t="shared" si="17"/>
        <v>1</v>
      </c>
      <c r="N56" s="719"/>
      <c r="O56" s="24">
        <f t="shared" si="18"/>
        <v>1</v>
      </c>
      <c r="P56" s="719"/>
      <c r="Q56" s="24">
        <f t="shared" si="19"/>
        <v>1</v>
      </c>
      <c r="R56" s="715">
        <f t="shared" si="20"/>
        <v>0</v>
      </c>
      <c r="S56" s="361">
        <f t="shared" si="22"/>
        <v>0</v>
      </c>
    </row>
    <row r="57" spans="1:19">
      <c r="A57" s="159"/>
      <c r="B57" s="59"/>
      <c r="C57" s="24">
        <f t="shared" si="12"/>
        <v>1</v>
      </c>
      <c r="D57" s="719"/>
      <c r="E57" s="24">
        <f t="shared" si="13"/>
        <v>0</v>
      </c>
      <c r="F57" s="719"/>
      <c r="G57" s="24">
        <f t="shared" si="14"/>
        <v>0</v>
      </c>
      <c r="H57" s="719"/>
      <c r="I57" s="24">
        <f t="shared" si="15"/>
        <v>0.05</v>
      </c>
      <c r="J57" s="719"/>
      <c r="K57" s="24">
        <f t="shared" si="16"/>
        <v>1</v>
      </c>
      <c r="L57" s="719"/>
      <c r="M57" s="24">
        <f t="shared" si="17"/>
        <v>1</v>
      </c>
      <c r="N57" s="719"/>
      <c r="O57" s="24">
        <f t="shared" si="18"/>
        <v>1</v>
      </c>
      <c r="P57" s="719"/>
      <c r="Q57" s="24">
        <f t="shared" si="19"/>
        <v>1</v>
      </c>
      <c r="R57" s="715">
        <f t="shared" si="20"/>
        <v>0</v>
      </c>
      <c r="S57" s="361">
        <f t="shared" si="22"/>
        <v>0</v>
      </c>
    </row>
    <row r="58" spans="1:19">
      <c r="A58" s="159"/>
      <c r="B58" s="59"/>
      <c r="C58" s="24">
        <f t="shared" si="12"/>
        <v>1</v>
      </c>
      <c r="D58" s="719"/>
      <c r="E58" s="24">
        <f t="shared" si="13"/>
        <v>0</v>
      </c>
      <c r="F58" s="719"/>
      <c r="G58" s="24">
        <f t="shared" si="14"/>
        <v>0</v>
      </c>
      <c r="H58" s="719"/>
      <c r="I58" s="24">
        <f t="shared" si="15"/>
        <v>0.05</v>
      </c>
      <c r="J58" s="719"/>
      <c r="K58" s="24">
        <f t="shared" si="16"/>
        <v>1</v>
      </c>
      <c r="L58" s="719"/>
      <c r="M58" s="24">
        <f t="shared" si="17"/>
        <v>1</v>
      </c>
      <c r="N58" s="719"/>
      <c r="O58" s="24">
        <f t="shared" si="18"/>
        <v>1</v>
      </c>
      <c r="P58" s="719"/>
      <c r="Q58" s="24">
        <f t="shared" si="19"/>
        <v>1</v>
      </c>
      <c r="R58" s="715">
        <f t="shared" si="20"/>
        <v>0</v>
      </c>
      <c r="S58" s="361">
        <f t="shared" si="22"/>
        <v>0</v>
      </c>
    </row>
    <row r="59" spans="1:19">
      <c r="A59" s="159"/>
      <c r="B59" s="59"/>
      <c r="C59" s="24">
        <f t="shared" si="12"/>
        <v>1</v>
      </c>
      <c r="D59" s="719"/>
      <c r="E59" s="24">
        <f t="shared" si="13"/>
        <v>0</v>
      </c>
      <c r="F59" s="719"/>
      <c r="G59" s="24">
        <f t="shared" si="14"/>
        <v>0</v>
      </c>
      <c r="H59" s="719"/>
      <c r="I59" s="24">
        <f t="shared" si="15"/>
        <v>0.05</v>
      </c>
      <c r="J59" s="719"/>
      <c r="K59" s="24">
        <f t="shared" si="16"/>
        <v>1</v>
      </c>
      <c r="L59" s="719"/>
      <c r="M59" s="24">
        <f t="shared" si="17"/>
        <v>1</v>
      </c>
      <c r="N59" s="719"/>
      <c r="O59" s="24">
        <f t="shared" si="18"/>
        <v>1</v>
      </c>
      <c r="P59" s="719"/>
      <c r="Q59" s="24">
        <f t="shared" si="19"/>
        <v>1</v>
      </c>
      <c r="R59" s="715">
        <f t="shared" si="20"/>
        <v>0</v>
      </c>
      <c r="S59" s="361">
        <f t="shared" si="22"/>
        <v>0</v>
      </c>
    </row>
    <row r="60" spans="1:19">
      <c r="A60" s="159"/>
      <c r="B60" s="59"/>
      <c r="C60" s="24">
        <f t="shared" si="12"/>
        <v>1</v>
      </c>
      <c r="D60" s="719"/>
      <c r="E60" s="24">
        <f t="shared" si="13"/>
        <v>0</v>
      </c>
      <c r="F60" s="719"/>
      <c r="G60" s="24">
        <f t="shared" si="14"/>
        <v>0</v>
      </c>
      <c r="H60" s="719"/>
      <c r="I60" s="24">
        <f t="shared" si="15"/>
        <v>0.05</v>
      </c>
      <c r="J60" s="719"/>
      <c r="K60" s="24">
        <f t="shared" si="16"/>
        <v>1</v>
      </c>
      <c r="L60" s="719"/>
      <c r="M60" s="24">
        <f t="shared" si="17"/>
        <v>1</v>
      </c>
      <c r="N60" s="719"/>
      <c r="O60" s="24">
        <f t="shared" si="18"/>
        <v>1</v>
      </c>
      <c r="P60" s="719"/>
      <c r="Q60" s="24">
        <f t="shared" si="19"/>
        <v>1</v>
      </c>
      <c r="R60" s="715">
        <f t="shared" si="20"/>
        <v>0</v>
      </c>
      <c r="S60" s="361">
        <f t="shared" si="22"/>
        <v>0</v>
      </c>
    </row>
    <row r="61" spans="1:19">
      <c r="A61" s="159"/>
      <c r="B61" s="59"/>
      <c r="C61" s="24">
        <f t="shared" si="12"/>
        <v>1</v>
      </c>
      <c r="D61" s="719"/>
      <c r="E61" s="24">
        <f t="shared" si="13"/>
        <v>0</v>
      </c>
      <c r="F61" s="719"/>
      <c r="G61" s="24">
        <f t="shared" si="14"/>
        <v>0</v>
      </c>
      <c r="H61" s="719"/>
      <c r="I61" s="24">
        <f t="shared" si="15"/>
        <v>0.05</v>
      </c>
      <c r="J61" s="719"/>
      <c r="K61" s="24">
        <f t="shared" si="16"/>
        <v>1</v>
      </c>
      <c r="L61" s="719"/>
      <c r="M61" s="24">
        <f t="shared" si="17"/>
        <v>1</v>
      </c>
      <c r="N61" s="719"/>
      <c r="O61" s="24">
        <f t="shared" si="18"/>
        <v>1</v>
      </c>
      <c r="P61" s="719"/>
      <c r="Q61" s="24">
        <f t="shared" si="19"/>
        <v>1</v>
      </c>
      <c r="R61" s="715">
        <f t="shared" si="20"/>
        <v>0</v>
      </c>
      <c r="S61" s="361">
        <f t="shared" si="22"/>
        <v>0</v>
      </c>
    </row>
    <row r="62" spans="1:19">
      <c r="A62" s="159"/>
      <c r="B62" s="59"/>
      <c r="C62" s="24">
        <f t="shared" si="12"/>
        <v>1</v>
      </c>
      <c r="D62" s="719"/>
      <c r="E62" s="24">
        <f t="shared" si="13"/>
        <v>0</v>
      </c>
      <c r="F62" s="719"/>
      <c r="G62" s="24">
        <f t="shared" si="14"/>
        <v>0</v>
      </c>
      <c r="H62" s="719"/>
      <c r="I62" s="24">
        <f t="shared" si="15"/>
        <v>0.05</v>
      </c>
      <c r="J62" s="719"/>
      <c r="K62" s="24">
        <f t="shared" si="16"/>
        <v>1</v>
      </c>
      <c r="L62" s="719"/>
      <c r="M62" s="24">
        <f t="shared" si="17"/>
        <v>1</v>
      </c>
      <c r="N62" s="719"/>
      <c r="O62" s="24">
        <f t="shared" si="18"/>
        <v>1</v>
      </c>
      <c r="P62" s="719"/>
      <c r="Q62" s="24">
        <f t="shared" si="19"/>
        <v>1</v>
      </c>
      <c r="R62" s="715">
        <f t="shared" si="20"/>
        <v>0</v>
      </c>
      <c r="S62" s="361">
        <f t="shared" si="22"/>
        <v>0</v>
      </c>
    </row>
    <row r="63" spans="1:19">
      <c r="A63" s="159"/>
      <c r="B63" s="59"/>
      <c r="C63" s="24">
        <f t="shared" si="12"/>
        <v>1</v>
      </c>
      <c r="D63" s="719"/>
      <c r="E63" s="24">
        <f t="shared" si="13"/>
        <v>0</v>
      </c>
      <c r="F63" s="719"/>
      <c r="G63" s="24">
        <f t="shared" si="14"/>
        <v>0</v>
      </c>
      <c r="H63" s="719"/>
      <c r="I63" s="24">
        <f t="shared" si="15"/>
        <v>0.05</v>
      </c>
      <c r="J63" s="719"/>
      <c r="K63" s="24">
        <f t="shared" si="16"/>
        <v>1</v>
      </c>
      <c r="L63" s="719"/>
      <c r="M63" s="24">
        <f t="shared" si="17"/>
        <v>1</v>
      </c>
      <c r="N63" s="719"/>
      <c r="O63" s="24">
        <f t="shared" si="18"/>
        <v>1</v>
      </c>
      <c r="P63" s="719"/>
      <c r="Q63" s="24">
        <f t="shared" si="19"/>
        <v>1</v>
      </c>
      <c r="R63" s="715">
        <f t="shared" si="20"/>
        <v>0</v>
      </c>
      <c r="S63" s="361">
        <f t="shared" si="22"/>
        <v>0</v>
      </c>
    </row>
    <row r="64" spans="1:19">
      <c r="A64" s="159"/>
      <c r="B64" s="59"/>
      <c r="C64" s="24">
        <f t="shared" si="12"/>
        <v>1</v>
      </c>
      <c r="D64" s="719"/>
      <c r="E64" s="24">
        <f t="shared" si="13"/>
        <v>0</v>
      </c>
      <c r="F64" s="719"/>
      <c r="G64" s="24">
        <f t="shared" si="14"/>
        <v>0</v>
      </c>
      <c r="H64" s="719"/>
      <c r="I64" s="24">
        <f t="shared" si="15"/>
        <v>0.05</v>
      </c>
      <c r="J64" s="719"/>
      <c r="K64" s="24">
        <f t="shared" si="16"/>
        <v>1</v>
      </c>
      <c r="L64" s="719"/>
      <c r="M64" s="24">
        <f t="shared" si="17"/>
        <v>1</v>
      </c>
      <c r="N64" s="719"/>
      <c r="O64" s="24">
        <f t="shared" si="18"/>
        <v>1</v>
      </c>
      <c r="P64" s="719"/>
      <c r="Q64" s="24">
        <f t="shared" si="19"/>
        <v>1</v>
      </c>
      <c r="R64" s="715">
        <f t="shared" si="20"/>
        <v>0</v>
      </c>
      <c r="S64" s="361">
        <f t="shared" si="22"/>
        <v>0</v>
      </c>
    </row>
    <row r="65" spans="1:19">
      <c r="A65" s="159"/>
      <c r="B65" s="59"/>
      <c r="C65" s="24">
        <f t="shared" si="12"/>
        <v>1</v>
      </c>
      <c r="D65" s="719"/>
      <c r="E65" s="24">
        <f t="shared" si="13"/>
        <v>0</v>
      </c>
      <c r="F65" s="719"/>
      <c r="G65" s="24">
        <f t="shared" si="14"/>
        <v>0</v>
      </c>
      <c r="H65" s="719"/>
      <c r="I65" s="24">
        <f t="shared" si="15"/>
        <v>0.05</v>
      </c>
      <c r="J65" s="719"/>
      <c r="K65" s="24">
        <f t="shared" si="16"/>
        <v>1</v>
      </c>
      <c r="L65" s="719"/>
      <c r="M65" s="24">
        <f t="shared" si="17"/>
        <v>1</v>
      </c>
      <c r="N65" s="719"/>
      <c r="O65" s="24">
        <f t="shared" si="18"/>
        <v>1</v>
      </c>
      <c r="P65" s="719"/>
      <c r="Q65" s="24">
        <f t="shared" si="19"/>
        <v>1</v>
      </c>
      <c r="R65" s="715">
        <f t="shared" si="20"/>
        <v>0</v>
      </c>
      <c r="S65" s="361">
        <f t="shared" si="22"/>
        <v>0</v>
      </c>
    </row>
    <row r="66" spans="1:19">
      <c r="A66" s="159"/>
      <c r="B66" s="59"/>
      <c r="C66" s="24">
        <f t="shared" si="12"/>
        <v>1</v>
      </c>
      <c r="D66" s="719"/>
      <c r="E66" s="24">
        <f t="shared" si="13"/>
        <v>0</v>
      </c>
      <c r="F66" s="719"/>
      <c r="G66" s="24">
        <f t="shared" si="14"/>
        <v>0</v>
      </c>
      <c r="H66" s="719"/>
      <c r="I66" s="24">
        <f t="shared" si="15"/>
        <v>0.05</v>
      </c>
      <c r="J66" s="719"/>
      <c r="K66" s="24">
        <f t="shared" si="16"/>
        <v>1</v>
      </c>
      <c r="L66" s="719"/>
      <c r="M66" s="24">
        <f t="shared" si="17"/>
        <v>1</v>
      </c>
      <c r="N66" s="719"/>
      <c r="O66" s="24">
        <f t="shared" si="18"/>
        <v>1</v>
      </c>
      <c r="P66" s="719"/>
      <c r="Q66" s="24">
        <f t="shared" si="19"/>
        <v>1</v>
      </c>
      <c r="R66" s="715">
        <f t="shared" si="20"/>
        <v>0</v>
      </c>
      <c r="S66" s="361">
        <f t="shared" si="22"/>
        <v>0</v>
      </c>
    </row>
    <row r="67" spans="1:19">
      <c r="A67" s="159"/>
      <c r="B67" s="59"/>
      <c r="C67" s="24">
        <f t="shared" si="12"/>
        <v>1</v>
      </c>
      <c r="D67" s="719"/>
      <c r="E67" s="24">
        <f t="shared" si="13"/>
        <v>0</v>
      </c>
      <c r="F67" s="719"/>
      <c r="G67" s="24">
        <f t="shared" si="14"/>
        <v>0</v>
      </c>
      <c r="H67" s="719"/>
      <c r="I67" s="24">
        <f t="shared" si="15"/>
        <v>0.05</v>
      </c>
      <c r="J67" s="719"/>
      <c r="K67" s="24">
        <f t="shared" si="16"/>
        <v>1</v>
      </c>
      <c r="L67" s="719"/>
      <c r="M67" s="24">
        <f t="shared" si="17"/>
        <v>1</v>
      </c>
      <c r="N67" s="719"/>
      <c r="O67" s="24">
        <f t="shared" si="18"/>
        <v>1</v>
      </c>
      <c r="P67" s="719"/>
      <c r="Q67" s="24">
        <f t="shared" si="19"/>
        <v>1</v>
      </c>
      <c r="R67" s="715">
        <f t="shared" si="20"/>
        <v>0</v>
      </c>
      <c r="S67" s="361">
        <f t="shared" si="22"/>
        <v>0</v>
      </c>
    </row>
    <row r="68" spans="1:19">
      <c r="A68" s="159"/>
      <c r="B68" s="59"/>
      <c r="C68" s="24">
        <f t="shared" si="12"/>
        <v>1</v>
      </c>
      <c r="D68" s="719"/>
      <c r="E68" s="24">
        <f t="shared" si="13"/>
        <v>0</v>
      </c>
      <c r="F68" s="719"/>
      <c r="G68" s="24">
        <f t="shared" si="14"/>
        <v>0</v>
      </c>
      <c r="H68" s="719"/>
      <c r="I68" s="24">
        <f t="shared" si="15"/>
        <v>0.05</v>
      </c>
      <c r="J68" s="719"/>
      <c r="K68" s="24">
        <f t="shared" si="16"/>
        <v>1</v>
      </c>
      <c r="L68" s="719"/>
      <c r="M68" s="24">
        <f t="shared" si="17"/>
        <v>1</v>
      </c>
      <c r="N68" s="719"/>
      <c r="O68" s="24">
        <f t="shared" si="18"/>
        <v>1</v>
      </c>
      <c r="P68" s="719"/>
      <c r="Q68" s="24">
        <f t="shared" si="19"/>
        <v>1</v>
      </c>
      <c r="R68" s="715">
        <f t="shared" si="20"/>
        <v>0</v>
      </c>
      <c r="S68" s="361">
        <f t="shared" si="22"/>
        <v>0</v>
      </c>
    </row>
    <row r="69" spans="1:19">
      <c r="A69" s="159"/>
      <c r="B69" s="59"/>
      <c r="C69" s="24">
        <f t="shared" si="12"/>
        <v>1</v>
      </c>
      <c r="D69" s="719"/>
      <c r="E69" s="24">
        <f t="shared" si="13"/>
        <v>0</v>
      </c>
      <c r="F69" s="719"/>
      <c r="G69" s="24">
        <f t="shared" si="14"/>
        <v>0</v>
      </c>
      <c r="H69" s="719"/>
      <c r="I69" s="24">
        <f t="shared" si="15"/>
        <v>0.05</v>
      </c>
      <c r="J69" s="719"/>
      <c r="K69" s="24">
        <f t="shared" si="16"/>
        <v>1</v>
      </c>
      <c r="L69" s="719"/>
      <c r="M69" s="24">
        <f t="shared" si="17"/>
        <v>1</v>
      </c>
      <c r="N69" s="719"/>
      <c r="O69" s="24">
        <f t="shared" si="18"/>
        <v>1</v>
      </c>
      <c r="P69" s="719"/>
      <c r="Q69" s="24">
        <f t="shared" si="19"/>
        <v>1</v>
      </c>
      <c r="R69" s="715">
        <f t="shared" si="20"/>
        <v>0</v>
      </c>
      <c r="S69" s="361">
        <f t="shared" si="22"/>
        <v>0</v>
      </c>
    </row>
    <row r="70" spans="1:19">
      <c r="A70" s="159"/>
      <c r="B70" s="59"/>
      <c r="C70" s="24">
        <f t="shared" si="12"/>
        <v>1</v>
      </c>
      <c r="D70" s="719"/>
      <c r="E70" s="24">
        <f t="shared" si="13"/>
        <v>0</v>
      </c>
      <c r="F70" s="719"/>
      <c r="G70" s="24">
        <f t="shared" si="14"/>
        <v>0</v>
      </c>
      <c r="H70" s="719"/>
      <c r="I70" s="24">
        <f t="shared" si="15"/>
        <v>0.05</v>
      </c>
      <c r="J70" s="719"/>
      <c r="K70" s="24">
        <f t="shared" si="16"/>
        <v>1</v>
      </c>
      <c r="L70" s="719"/>
      <c r="M70" s="24">
        <f t="shared" si="17"/>
        <v>1</v>
      </c>
      <c r="N70" s="719"/>
      <c r="O70" s="24">
        <f t="shared" si="18"/>
        <v>1</v>
      </c>
      <c r="P70" s="719"/>
      <c r="Q70" s="24">
        <f t="shared" si="19"/>
        <v>1</v>
      </c>
      <c r="R70" s="715">
        <f t="shared" si="20"/>
        <v>0</v>
      </c>
      <c r="S70" s="361">
        <f t="shared" si="22"/>
        <v>0</v>
      </c>
    </row>
    <row r="71" spans="1:19">
      <c r="A71" s="159"/>
      <c r="B71" s="59"/>
      <c r="C71" s="24">
        <f t="shared" si="12"/>
        <v>1</v>
      </c>
      <c r="D71" s="719"/>
      <c r="E71" s="24">
        <f t="shared" si="13"/>
        <v>0</v>
      </c>
      <c r="F71" s="719"/>
      <c r="G71" s="24">
        <f t="shared" si="14"/>
        <v>0</v>
      </c>
      <c r="H71" s="719"/>
      <c r="I71" s="24">
        <f t="shared" si="15"/>
        <v>0.05</v>
      </c>
      <c r="J71" s="719"/>
      <c r="K71" s="24">
        <f t="shared" si="16"/>
        <v>1</v>
      </c>
      <c r="L71" s="719"/>
      <c r="M71" s="24">
        <f t="shared" si="17"/>
        <v>1</v>
      </c>
      <c r="N71" s="719"/>
      <c r="O71" s="24">
        <f t="shared" si="18"/>
        <v>1</v>
      </c>
      <c r="P71" s="719"/>
      <c r="Q71" s="24">
        <f t="shared" si="19"/>
        <v>1</v>
      </c>
      <c r="R71" s="715">
        <f t="shared" si="20"/>
        <v>0</v>
      </c>
      <c r="S71" s="361">
        <f t="shared" si="22"/>
        <v>0</v>
      </c>
    </row>
    <row r="72" spans="1:19">
      <c r="A72" s="159"/>
      <c r="B72" s="59"/>
      <c r="C72" s="24">
        <f t="shared" si="12"/>
        <v>1</v>
      </c>
      <c r="D72" s="719"/>
      <c r="E72" s="24">
        <f t="shared" si="13"/>
        <v>0</v>
      </c>
      <c r="F72" s="719"/>
      <c r="G72" s="24">
        <f t="shared" si="14"/>
        <v>0</v>
      </c>
      <c r="H72" s="719"/>
      <c r="I72" s="24">
        <f t="shared" si="15"/>
        <v>0.05</v>
      </c>
      <c r="J72" s="719"/>
      <c r="K72" s="24">
        <f t="shared" si="16"/>
        <v>1</v>
      </c>
      <c r="L72" s="719"/>
      <c r="M72" s="24">
        <f t="shared" si="17"/>
        <v>1</v>
      </c>
      <c r="N72" s="719"/>
      <c r="O72" s="24">
        <f t="shared" si="18"/>
        <v>1</v>
      </c>
      <c r="P72" s="719"/>
      <c r="Q72" s="24">
        <f t="shared" si="19"/>
        <v>1</v>
      </c>
      <c r="R72" s="715">
        <f t="shared" si="20"/>
        <v>0</v>
      </c>
      <c r="S72" s="361">
        <f t="shared" si="22"/>
        <v>0</v>
      </c>
    </row>
    <row r="73" spans="1:19">
      <c r="A73" s="159"/>
      <c r="B73" s="59"/>
      <c r="C73" s="24">
        <f t="shared" si="12"/>
        <v>1</v>
      </c>
      <c r="D73" s="719"/>
      <c r="E73" s="24">
        <f t="shared" si="13"/>
        <v>0</v>
      </c>
      <c r="F73" s="719"/>
      <c r="G73" s="24">
        <f t="shared" si="14"/>
        <v>0</v>
      </c>
      <c r="H73" s="719"/>
      <c r="I73" s="24">
        <f t="shared" si="15"/>
        <v>0.05</v>
      </c>
      <c r="J73" s="719"/>
      <c r="K73" s="24">
        <f t="shared" si="16"/>
        <v>1</v>
      </c>
      <c r="L73" s="719"/>
      <c r="M73" s="24">
        <f t="shared" si="17"/>
        <v>1</v>
      </c>
      <c r="N73" s="719"/>
      <c r="O73" s="24">
        <f t="shared" si="18"/>
        <v>1</v>
      </c>
      <c r="P73" s="719"/>
      <c r="Q73" s="24">
        <f t="shared" si="19"/>
        <v>1</v>
      </c>
      <c r="R73" s="715">
        <f t="shared" si="20"/>
        <v>0</v>
      </c>
      <c r="S73" s="361">
        <f t="shared" si="22"/>
        <v>0</v>
      </c>
    </row>
    <row r="74" spans="1:19">
      <c r="A74" s="159"/>
      <c r="B74" s="59"/>
      <c r="C74" s="24">
        <f t="shared" si="12"/>
        <v>1</v>
      </c>
      <c r="D74" s="719"/>
      <c r="E74" s="24">
        <f t="shared" si="13"/>
        <v>0</v>
      </c>
      <c r="F74" s="719"/>
      <c r="G74" s="24">
        <f t="shared" si="14"/>
        <v>0</v>
      </c>
      <c r="H74" s="719"/>
      <c r="I74" s="24">
        <f t="shared" si="15"/>
        <v>0.05</v>
      </c>
      <c r="J74" s="719"/>
      <c r="K74" s="24">
        <f t="shared" si="16"/>
        <v>1</v>
      </c>
      <c r="L74" s="719"/>
      <c r="M74" s="24">
        <f t="shared" si="17"/>
        <v>1</v>
      </c>
      <c r="N74" s="719"/>
      <c r="O74" s="24">
        <f t="shared" si="18"/>
        <v>1</v>
      </c>
      <c r="P74" s="719"/>
      <c r="Q74" s="24">
        <f t="shared" si="19"/>
        <v>1</v>
      </c>
      <c r="R74" s="715">
        <f t="shared" si="20"/>
        <v>0</v>
      </c>
      <c r="S74" s="361">
        <f t="shared" si="22"/>
        <v>0</v>
      </c>
    </row>
    <row r="75" spans="1:19">
      <c r="A75" s="159"/>
      <c r="B75" s="59"/>
      <c r="C75" s="24">
        <f t="shared" si="12"/>
        <v>1</v>
      </c>
      <c r="D75" s="719"/>
      <c r="E75" s="24">
        <f t="shared" si="13"/>
        <v>0</v>
      </c>
      <c r="F75" s="719"/>
      <c r="G75" s="24">
        <f t="shared" si="14"/>
        <v>0</v>
      </c>
      <c r="H75" s="719"/>
      <c r="I75" s="24">
        <f t="shared" si="15"/>
        <v>0.05</v>
      </c>
      <c r="J75" s="719"/>
      <c r="K75" s="24">
        <f t="shared" si="16"/>
        <v>1</v>
      </c>
      <c r="L75" s="719"/>
      <c r="M75" s="24">
        <f t="shared" si="17"/>
        <v>1</v>
      </c>
      <c r="N75" s="719"/>
      <c r="O75" s="24">
        <f t="shared" si="18"/>
        <v>1</v>
      </c>
      <c r="P75" s="719"/>
      <c r="Q75" s="24">
        <f t="shared" si="19"/>
        <v>1</v>
      </c>
      <c r="R75" s="715">
        <f t="shared" si="20"/>
        <v>0</v>
      </c>
      <c r="S75" s="361">
        <f t="shared" si="22"/>
        <v>0</v>
      </c>
    </row>
    <row r="76" spans="1:19">
      <c r="A76" s="159"/>
      <c r="B76" s="59"/>
      <c r="C76" s="24">
        <f t="shared" si="12"/>
        <v>1</v>
      </c>
      <c r="D76" s="719"/>
      <c r="E76" s="24">
        <f t="shared" si="13"/>
        <v>0</v>
      </c>
      <c r="F76" s="719"/>
      <c r="G76" s="24">
        <f t="shared" si="14"/>
        <v>0</v>
      </c>
      <c r="H76" s="719"/>
      <c r="I76" s="24">
        <f t="shared" si="15"/>
        <v>0.05</v>
      </c>
      <c r="J76" s="719"/>
      <c r="K76" s="24">
        <f t="shared" si="16"/>
        <v>1</v>
      </c>
      <c r="L76" s="719"/>
      <c r="M76" s="24">
        <f t="shared" si="17"/>
        <v>1</v>
      </c>
      <c r="N76" s="719"/>
      <c r="O76" s="24">
        <f t="shared" si="18"/>
        <v>1</v>
      </c>
      <c r="P76" s="719"/>
      <c r="Q76" s="24">
        <f t="shared" si="19"/>
        <v>1</v>
      </c>
      <c r="R76" s="715">
        <f t="shared" si="20"/>
        <v>0</v>
      </c>
      <c r="S76" s="361">
        <f t="shared" si="22"/>
        <v>0</v>
      </c>
    </row>
    <row r="77" spans="1:19">
      <c r="A77" s="159"/>
      <c r="B77" s="59"/>
      <c r="C77" s="24">
        <f t="shared" si="12"/>
        <v>1</v>
      </c>
      <c r="D77" s="719"/>
      <c r="E77" s="24">
        <f t="shared" si="13"/>
        <v>0</v>
      </c>
      <c r="F77" s="719"/>
      <c r="G77" s="24">
        <f t="shared" si="14"/>
        <v>0</v>
      </c>
      <c r="H77" s="719"/>
      <c r="I77" s="24">
        <f t="shared" si="15"/>
        <v>0.05</v>
      </c>
      <c r="J77" s="719"/>
      <c r="K77" s="24">
        <f t="shared" si="16"/>
        <v>1</v>
      </c>
      <c r="L77" s="719"/>
      <c r="M77" s="24">
        <f t="shared" si="17"/>
        <v>1</v>
      </c>
      <c r="N77" s="719"/>
      <c r="O77" s="24">
        <f t="shared" si="18"/>
        <v>1</v>
      </c>
      <c r="P77" s="719"/>
      <c r="Q77" s="24">
        <f t="shared" si="19"/>
        <v>1</v>
      </c>
      <c r="R77" s="715">
        <f t="shared" si="20"/>
        <v>0</v>
      </c>
      <c r="S77" s="361">
        <f t="shared" si="22"/>
        <v>0</v>
      </c>
    </row>
    <row r="78" spans="1:19">
      <c r="A78" s="159"/>
      <c r="B78" s="59"/>
      <c r="C78" s="24">
        <f t="shared" si="12"/>
        <v>1</v>
      </c>
      <c r="D78" s="719"/>
      <c r="E78" s="24">
        <f t="shared" si="13"/>
        <v>0</v>
      </c>
      <c r="F78" s="719"/>
      <c r="G78" s="24">
        <f t="shared" si="14"/>
        <v>0</v>
      </c>
      <c r="H78" s="719"/>
      <c r="I78" s="24">
        <f t="shared" si="15"/>
        <v>0.05</v>
      </c>
      <c r="J78" s="719"/>
      <c r="K78" s="24">
        <f t="shared" si="16"/>
        <v>1</v>
      </c>
      <c r="L78" s="719"/>
      <c r="M78" s="24">
        <f t="shared" si="17"/>
        <v>1</v>
      </c>
      <c r="N78" s="719"/>
      <c r="O78" s="24">
        <f t="shared" si="18"/>
        <v>1</v>
      </c>
      <c r="P78" s="719"/>
      <c r="Q78" s="24">
        <f t="shared" si="19"/>
        <v>1</v>
      </c>
      <c r="R78" s="715">
        <f t="shared" si="20"/>
        <v>0</v>
      </c>
      <c r="S78" s="361">
        <f t="shared" ref="S78:S122" si="23">ROUND(R78*B78/10000,0)</f>
        <v>0</v>
      </c>
    </row>
    <row r="79" spans="1:19">
      <c r="A79" s="159"/>
      <c r="B79" s="59"/>
      <c r="C79" s="24">
        <f t="shared" si="12"/>
        <v>1</v>
      </c>
      <c r="D79" s="719"/>
      <c r="E79" s="24">
        <f t="shared" si="13"/>
        <v>0</v>
      </c>
      <c r="F79" s="719"/>
      <c r="G79" s="24">
        <f t="shared" si="14"/>
        <v>0</v>
      </c>
      <c r="H79" s="719"/>
      <c r="I79" s="24">
        <f t="shared" si="15"/>
        <v>0.05</v>
      </c>
      <c r="J79" s="719"/>
      <c r="K79" s="24">
        <f t="shared" si="16"/>
        <v>1</v>
      </c>
      <c r="L79" s="719"/>
      <c r="M79" s="24">
        <f t="shared" si="17"/>
        <v>1</v>
      </c>
      <c r="N79" s="719"/>
      <c r="O79" s="24">
        <f t="shared" si="18"/>
        <v>1</v>
      </c>
      <c r="P79" s="719"/>
      <c r="Q79" s="24">
        <f t="shared" si="19"/>
        <v>1</v>
      </c>
      <c r="R79" s="715">
        <f t="shared" si="20"/>
        <v>0</v>
      </c>
      <c r="S79" s="361">
        <f t="shared" si="23"/>
        <v>0</v>
      </c>
    </row>
    <row r="80" spans="1:19">
      <c r="A80" s="159"/>
      <c r="B80" s="59"/>
      <c r="C80" s="24">
        <f t="shared" si="12"/>
        <v>1</v>
      </c>
      <c r="D80" s="719"/>
      <c r="E80" s="24">
        <f t="shared" si="13"/>
        <v>0</v>
      </c>
      <c r="F80" s="719"/>
      <c r="G80" s="24">
        <f t="shared" si="14"/>
        <v>0</v>
      </c>
      <c r="H80" s="719"/>
      <c r="I80" s="24">
        <f t="shared" si="15"/>
        <v>0.05</v>
      </c>
      <c r="J80" s="719"/>
      <c r="K80" s="24">
        <f t="shared" si="16"/>
        <v>1</v>
      </c>
      <c r="L80" s="719"/>
      <c r="M80" s="24">
        <f t="shared" si="17"/>
        <v>1</v>
      </c>
      <c r="N80" s="719"/>
      <c r="O80" s="24">
        <f t="shared" si="18"/>
        <v>1</v>
      </c>
      <c r="P80" s="719"/>
      <c r="Q80" s="24">
        <f t="shared" si="19"/>
        <v>1</v>
      </c>
      <c r="R80" s="715">
        <f t="shared" si="20"/>
        <v>0</v>
      </c>
      <c r="S80" s="361">
        <f t="shared" si="23"/>
        <v>0</v>
      </c>
    </row>
    <row r="81" spans="1:19">
      <c r="A81" s="159"/>
      <c r="B81" s="59"/>
      <c r="C81" s="24">
        <f t="shared" si="12"/>
        <v>1</v>
      </c>
      <c r="D81" s="719"/>
      <c r="E81" s="24">
        <f t="shared" si="13"/>
        <v>0</v>
      </c>
      <c r="F81" s="719"/>
      <c r="G81" s="24">
        <f t="shared" si="14"/>
        <v>0</v>
      </c>
      <c r="H81" s="719"/>
      <c r="I81" s="24">
        <f t="shared" si="15"/>
        <v>0.05</v>
      </c>
      <c r="J81" s="719"/>
      <c r="K81" s="24">
        <f t="shared" si="16"/>
        <v>1</v>
      </c>
      <c r="L81" s="719"/>
      <c r="M81" s="24">
        <f t="shared" si="17"/>
        <v>1</v>
      </c>
      <c r="N81" s="719"/>
      <c r="O81" s="24">
        <f t="shared" si="18"/>
        <v>1</v>
      </c>
      <c r="P81" s="719"/>
      <c r="Q81" s="24">
        <f t="shared" si="19"/>
        <v>1</v>
      </c>
      <c r="R81" s="715">
        <f t="shared" si="20"/>
        <v>0</v>
      </c>
      <c r="S81" s="361">
        <f t="shared" si="23"/>
        <v>0</v>
      </c>
    </row>
    <row r="82" spans="1:19">
      <c r="A82" s="159"/>
      <c r="B82" s="59"/>
      <c r="C82" s="24">
        <f t="shared" si="12"/>
        <v>1</v>
      </c>
      <c r="D82" s="719"/>
      <c r="E82" s="24">
        <f t="shared" si="13"/>
        <v>0</v>
      </c>
      <c r="F82" s="719"/>
      <c r="G82" s="24">
        <f t="shared" si="14"/>
        <v>0</v>
      </c>
      <c r="H82" s="719"/>
      <c r="I82" s="24">
        <f t="shared" si="15"/>
        <v>0.05</v>
      </c>
      <c r="J82" s="719"/>
      <c r="K82" s="24">
        <f t="shared" si="16"/>
        <v>1</v>
      </c>
      <c r="L82" s="719"/>
      <c r="M82" s="24">
        <f t="shared" si="17"/>
        <v>1</v>
      </c>
      <c r="N82" s="719"/>
      <c r="O82" s="24">
        <f t="shared" si="18"/>
        <v>1</v>
      </c>
      <c r="P82" s="719"/>
      <c r="Q82" s="24">
        <f t="shared" si="19"/>
        <v>1</v>
      </c>
      <c r="R82" s="715">
        <f t="shared" si="20"/>
        <v>0</v>
      </c>
      <c r="S82" s="361">
        <f t="shared" si="23"/>
        <v>0</v>
      </c>
    </row>
    <row r="83" spans="1:19">
      <c r="A83" s="159"/>
      <c r="B83" s="59"/>
      <c r="C83" s="24">
        <f t="shared" si="12"/>
        <v>1</v>
      </c>
      <c r="D83" s="719"/>
      <c r="E83" s="24">
        <f t="shared" si="13"/>
        <v>0</v>
      </c>
      <c r="F83" s="719"/>
      <c r="G83" s="24">
        <f t="shared" si="14"/>
        <v>0</v>
      </c>
      <c r="H83" s="719"/>
      <c r="I83" s="24">
        <f t="shared" si="15"/>
        <v>0.05</v>
      </c>
      <c r="J83" s="719"/>
      <c r="K83" s="24">
        <f t="shared" si="16"/>
        <v>1</v>
      </c>
      <c r="L83" s="719"/>
      <c r="M83" s="24">
        <f t="shared" si="17"/>
        <v>1</v>
      </c>
      <c r="N83" s="719"/>
      <c r="O83" s="24">
        <f t="shared" si="18"/>
        <v>1</v>
      </c>
      <c r="P83" s="719"/>
      <c r="Q83" s="24">
        <f t="shared" si="19"/>
        <v>1</v>
      </c>
      <c r="R83" s="715">
        <f t="shared" si="20"/>
        <v>0</v>
      </c>
      <c r="S83" s="361">
        <f t="shared" si="23"/>
        <v>0</v>
      </c>
    </row>
    <row r="84" spans="1:19">
      <c r="A84" s="159"/>
      <c r="B84" s="59"/>
      <c r="C84" s="24">
        <f t="shared" si="12"/>
        <v>1</v>
      </c>
      <c r="D84" s="719"/>
      <c r="E84" s="24">
        <f t="shared" si="13"/>
        <v>0</v>
      </c>
      <c r="F84" s="719"/>
      <c r="G84" s="24">
        <f t="shared" si="14"/>
        <v>0</v>
      </c>
      <c r="H84" s="719"/>
      <c r="I84" s="24">
        <f t="shared" si="15"/>
        <v>0.05</v>
      </c>
      <c r="J84" s="719"/>
      <c r="K84" s="24">
        <f t="shared" si="16"/>
        <v>1</v>
      </c>
      <c r="L84" s="719"/>
      <c r="M84" s="24">
        <f t="shared" si="17"/>
        <v>1</v>
      </c>
      <c r="N84" s="719"/>
      <c r="O84" s="24">
        <f t="shared" si="18"/>
        <v>1</v>
      </c>
      <c r="P84" s="719"/>
      <c r="Q84" s="24">
        <f t="shared" si="19"/>
        <v>1</v>
      </c>
      <c r="R84" s="715">
        <f t="shared" si="20"/>
        <v>0</v>
      </c>
      <c r="S84" s="361">
        <f t="shared" si="23"/>
        <v>0</v>
      </c>
    </row>
    <row r="85" spans="1:19">
      <c r="A85" s="159"/>
      <c r="B85" s="59"/>
      <c r="C85" s="24">
        <f t="shared" si="12"/>
        <v>1</v>
      </c>
      <c r="D85" s="719"/>
      <c r="E85" s="24">
        <f t="shared" si="13"/>
        <v>0</v>
      </c>
      <c r="F85" s="719"/>
      <c r="G85" s="24">
        <f t="shared" si="14"/>
        <v>0</v>
      </c>
      <c r="H85" s="719"/>
      <c r="I85" s="24">
        <f t="shared" si="15"/>
        <v>0.05</v>
      </c>
      <c r="J85" s="719"/>
      <c r="K85" s="24">
        <f t="shared" si="16"/>
        <v>1</v>
      </c>
      <c r="L85" s="719"/>
      <c r="M85" s="24">
        <f t="shared" si="17"/>
        <v>1</v>
      </c>
      <c r="N85" s="719"/>
      <c r="O85" s="24">
        <f t="shared" si="18"/>
        <v>1</v>
      </c>
      <c r="P85" s="719"/>
      <c r="Q85" s="24">
        <f t="shared" si="19"/>
        <v>1</v>
      </c>
      <c r="R85" s="715">
        <f t="shared" si="20"/>
        <v>0</v>
      </c>
      <c r="S85" s="361">
        <f t="shared" si="23"/>
        <v>0</v>
      </c>
    </row>
    <row r="86" spans="1:19">
      <c r="A86" s="159"/>
      <c r="B86" s="59"/>
      <c r="C86" s="24">
        <f t="shared" si="12"/>
        <v>1</v>
      </c>
      <c r="D86" s="719"/>
      <c r="E86" s="24">
        <f t="shared" si="13"/>
        <v>0</v>
      </c>
      <c r="F86" s="719"/>
      <c r="G86" s="24">
        <f t="shared" si="14"/>
        <v>0</v>
      </c>
      <c r="H86" s="719"/>
      <c r="I86" s="24">
        <f t="shared" si="15"/>
        <v>0.05</v>
      </c>
      <c r="J86" s="719"/>
      <c r="K86" s="24">
        <f t="shared" si="16"/>
        <v>1</v>
      </c>
      <c r="L86" s="719"/>
      <c r="M86" s="24">
        <f t="shared" si="17"/>
        <v>1</v>
      </c>
      <c r="N86" s="719"/>
      <c r="O86" s="24">
        <f t="shared" si="18"/>
        <v>1</v>
      </c>
      <c r="P86" s="719"/>
      <c r="Q86" s="24">
        <f t="shared" si="19"/>
        <v>1</v>
      </c>
      <c r="R86" s="715">
        <f t="shared" si="20"/>
        <v>0</v>
      </c>
      <c r="S86" s="361">
        <f t="shared" si="23"/>
        <v>0</v>
      </c>
    </row>
    <row r="87" spans="1:19">
      <c r="A87" s="159"/>
      <c r="B87" s="59"/>
      <c r="C87" s="24">
        <f t="shared" si="12"/>
        <v>1</v>
      </c>
      <c r="D87" s="719"/>
      <c r="E87" s="24">
        <f t="shared" si="13"/>
        <v>0</v>
      </c>
      <c r="F87" s="719"/>
      <c r="G87" s="24">
        <f t="shared" si="14"/>
        <v>0</v>
      </c>
      <c r="H87" s="719"/>
      <c r="I87" s="24">
        <f t="shared" si="15"/>
        <v>0.05</v>
      </c>
      <c r="J87" s="719"/>
      <c r="K87" s="24">
        <f t="shared" si="16"/>
        <v>1</v>
      </c>
      <c r="L87" s="719"/>
      <c r="M87" s="24">
        <f t="shared" si="17"/>
        <v>1</v>
      </c>
      <c r="N87" s="719"/>
      <c r="O87" s="24">
        <f t="shared" si="18"/>
        <v>1</v>
      </c>
      <c r="P87" s="719"/>
      <c r="Q87" s="24">
        <f t="shared" si="19"/>
        <v>1</v>
      </c>
      <c r="R87" s="715">
        <f t="shared" si="20"/>
        <v>0</v>
      </c>
      <c r="S87" s="361">
        <f t="shared" si="23"/>
        <v>0</v>
      </c>
    </row>
    <row r="88" spans="1:19">
      <c r="A88" s="159"/>
      <c r="B88" s="59"/>
      <c r="C88" s="24">
        <f t="shared" si="12"/>
        <v>1</v>
      </c>
      <c r="D88" s="719"/>
      <c r="E88" s="24">
        <f t="shared" si="13"/>
        <v>0</v>
      </c>
      <c r="F88" s="719"/>
      <c r="G88" s="24">
        <f t="shared" si="14"/>
        <v>0</v>
      </c>
      <c r="H88" s="719"/>
      <c r="I88" s="24">
        <f t="shared" si="15"/>
        <v>0.05</v>
      </c>
      <c r="J88" s="719"/>
      <c r="K88" s="24">
        <f t="shared" si="16"/>
        <v>1</v>
      </c>
      <c r="L88" s="719"/>
      <c r="M88" s="24">
        <f t="shared" si="17"/>
        <v>1</v>
      </c>
      <c r="N88" s="719"/>
      <c r="O88" s="24">
        <f t="shared" si="18"/>
        <v>1</v>
      </c>
      <c r="P88" s="719"/>
      <c r="Q88" s="24">
        <f t="shared" si="19"/>
        <v>1</v>
      </c>
      <c r="R88" s="715">
        <f t="shared" si="20"/>
        <v>0</v>
      </c>
      <c r="S88" s="361">
        <f t="shared" si="23"/>
        <v>0</v>
      </c>
    </row>
    <row r="89" spans="1:19">
      <c r="A89" s="159"/>
      <c r="B89" s="59"/>
      <c r="C89" s="24">
        <f t="shared" si="12"/>
        <v>1</v>
      </c>
      <c r="D89" s="719"/>
      <c r="E89" s="24">
        <f t="shared" si="13"/>
        <v>0</v>
      </c>
      <c r="F89" s="719"/>
      <c r="G89" s="24">
        <f t="shared" si="14"/>
        <v>0</v>
      </c>
      <c r="H89" s="719"/>
      <c r="I89" s="24">
        <f t="shared" si="15"/>
        <v>0.05</v>
      </c>
      <c r="J89" s="719"/>
      <c r="K89" s="24">
        <f t="shared" si="16"/>
        <v>1</v>
      </c>
      <c r="L89" s="719"/>
      <c r="M89" s="24">
        <f t="shared" si="17"/>
        <v>1</v>
      </c>
      <c r="N89" s="719"/>
      <c r="O89" s="24">
        <f t="shared" si="18"/>
        <v>1</v>
      </c>
      <c r="P89" s="719"/>
      <c r="Q89" s="24">
        <f t="shared" si="19"/>
        <v>1</v>
      </c>
      <c r="R89" s="715">
        <f t="shared" si="20"/>
        <v>0</v>
      </c>
      <c r="S89" s="361">
        <f t="shared" si="23"/>
        <v>0</v>
      </c>
    </row>
    <row r="90" spans="1:19">
      <c r="A90" s="159"/>
      <c r="B90" s="59"/>
      <c r="C90" s="24">
        <f t="shared" ref="C90:C153" si="24">IF(B90="",1,(LOOKUP(B90,$3:$3,$4:$4)-LOOKUP($B$24,$3:$3,$4:$4)+100)/100)</f>
        <v>1</v>
      </c>
      <c r="D90" s="719"/>
      <c r="E90" s="24">
        <f t="shared" ref="E90:E153" si="25">(SUMIF($5:$5,D90,$6:$6)-SUMIF($5:$5,$D$24,$6:$6)+100)/100</f>
        <v>0</v>
      </c>
      <c r="F90" s="719"/>
      <c r="G90" s="24">
        <f t="shared" ref="G90:G153" si="26">(SUMIF($7:$7,F90,$8:$8)-SUMIF($7:$7,$F$24,$8:$8)+100)/100</f>
        <v>0</v>
      </c>
      <c r="H90" s="719"/>
      <c r="I90" s="24">
        <f t="shared" ref="I90:I153" si="27">(SUMIF($9:$9,H90,$10:$10)-SUMIF($9:$9,$H$24,$10:$10)+100)/100</f>
        <v>0.05</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v>
      </c>
      <c r="F91" s="719"/>
      <c r="G91" s="24">
        <f t="shared" si="26"/>
        <v>0</v>
      </c>
      <c r="H91" s="719"/>
      <c r="I91" s="24">
        <f t="shared" si="27"/>
        <v>0.05</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v>
      </c>
      <c r="F92" s="719"/>
      <c r="G92" s="24">
        <f t="shared" si="26"/>
        <v>0</v>
      </c>
      <c r="H92" s="719"/>
      <c r="I92" s="24">
        <f t="shared" si="27"/>
        <v>0.05</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v>
      </c>
      <c r="F93" s="719"/>
      <c r="G93" s="24">
        <f t="shared" si="26"/>
        <v>0</v>
      </c>
      <c r="H93" s="719"/>
      <c r="I93" s="24">
        <f t="shared" si="27"/>
        <v>0.05</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v>
      </c>
      <c r="F94" s="719"/>
      <c r="G94" s="24">
        <f t="shared" si="26"/>
        <v>0</v>
      </c>
      <c r="H94" s="719"/>
      <c r="I94" s="24">
        <f t="shared" si="27"/>
        <v>0.05</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v>
      </c>
      <c r="F95" s="719"/>
      <c r="G95" s="24">
        <f t="shared" si="26"/>
        <v>0</v>
      </c>
      <c r="H95" s="719"/>
      <c r="I95" s="24">
        <f t="shared" si="27"/>
        <v>0.05</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v>
      </c>
      <c r="F96" s="719"/>
      <c r="G96" s="24">
        <f t="shared" si="26"/>
        <v>0</v>
      </c>
      <c r="H96" s="719"/>
      <c r="I96" s="24">
        <f t="shared" si="27"/>
        <v>0.05</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v>
      </c>
      <c r="F97" s="719"/>
      <c r="G97" s="24">
        <f t="shared" si="26"/>
        <v>0</v>
      </c>
      <c r="H97" s="719"/>
      <c r="I97" s="24">
        <f t="shared" si="27"/>
        <v>0.05</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v>
      </c>
      <c r="F98" s="719"/>
      <c r="G98" s="24">
        <f t="shared" si="26"/>
        <v>0</v>
      </c>
      <c r="H98" s="719"/>
      <c r="I98" s="24">
        <f t="shared" si="27"/>
        <v>0.05</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v>
      </c>
      <c r="F99" s="719"/>
      <c r="G99" s="24">
        <f t="shared" si="26"/>
        <v>0</v>
      </c>
      <c r="H99" s="719"/>
      <c r="I99" s="24">
        <f t="shared" si="27"/>
        <v>0.05</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v>
      </c>
      <c r="F100" s="719"/>
      <c r="G100" s="24">
        <f t="shared" si="26"/>
        <v>0</v>
      </c>
      <c r="H100" s="719"/>
      <c r="I100" s="24">
        <f t="shared" si="27"/>
        <v>0.05</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v>
      </c>
      <c r="F101" s="719"/>
      <c r="G101" s="24">
        <f t="shared" si="26"/>
        <v>0</v>
      </c>
      <c r="H101" s="719"/>
      <c r="I101" s="24">
        <f t="shared" si="27"/>
        <v>0.05</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v>
      </c>
      <c r="F102" s="719"/>
      <c r="G102" s="24">
        <f t="shared" si="26"/>
        <v>0</v>
      </c>
      <c r="H102" s="719"/>
      <c r="I102" s="24">
        <f t="shared" si="27"/>
        <v>0.05</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v>
      </c>
      <c r="F103" s="719"/>
      <c r="G103" s="24">
        <f t="shared" si="26"/>
        <v>0</v>
      </c>
      <c r="H103" s="719"/>
      <c r="I103" s="24">
        <f t="shared" si="27"/>
        <v>0.05</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v>
      </c>
      <c r="F104" s="719"/>
      <c r="G104" s="24">
        <f t="shared" si="26"/>
        <v>0</v>
      </c>
      <c r="H104" s="719"/>
      <c r="I104" s="24">
        <f t="shared" si="27"/>
        <v>0.05</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v>
      </c>
      <c r="F105" s="719"/>
      <c r="G105" s="24">
        <f t="shared" si="26"/>
        <v>0</v>
      </c>
      <c r="H105" s="719"/>
      <c r="I105" s="24">
        <f t="shared" si="27"/>
        <v>0.05</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v>
      </c>
      <c r="F106" s="719"/>
      <c r="G106" s="24">
        <f t="shared" si="26"/>
        <v>0</v>
      </c>
      <c r="H106" s="719"/>
      <c r="I106" s="24">
        <f t="shared" si="27"/>
        <v>0.05</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v>
      </c>
      <c r="F107" s="719"/>
      <c r="G107" s="24">
        <f t="shared" si="26"/>
        <v>0</v>
      </c>
      <c r="H107" s="719"/>
      <c r="I107" s="24">
        <f t="shared" si="27"/>
        <v>0.05</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v>
      </c>
      <c r="F108" s="719"/>
      <c r="G108" s="24">
        <f t="shared" si="26"/>
        <v>0</v>
      </c>
      <c r="H108" s="719"/>
      <c r="I108" s="24">
        <f t="shared" si="27"/>
        <v>0.05</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v>
      </c>
      <c r="F109" s="719"/>
      <c r="G109" s="24">
        <f t="shared" si="26"/>
        <v>0</v>
      </c>
      <c r="H109" s="719"/>
      <c r="I109" s="24">
        <f t="shared" si="27"/>
        <v>0.05</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v>
      </c>
      <c r="F110" s="719"/>
      <c r="G110" s="24">
        <f t="shared" si="26"/>
        <v>0</v>
      </c>
      <c r="H110" s="719"/>
      <c r="I110" s="24">
        <f t="shared" si="27"/>
        <v>0.05</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v>
      </c>
      <c r="F111" s="719"/>
      <c r="G111" s="24">
        <f t="shared" si="26"/>
        <v>0</v>
      </c>
      <c r="H111" s="719"/>
      <c r="I111" s="24">
        <f t="shared" si="27"/>
        <v>0.05</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v>
      </c>
      <c r="F112" s="719"/>
      <c r="G112" s="24">
        <f t="shared" si="26"/>
        <v>0</v>
      </c>
      <c r="H112" s="719"/>
      <c r="I112" s="24">
        <f t="shared" si="27"/>
        <v>0.05</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v>
      </c>
      <c r="F113" s="719"/>
      <c r="G113" s="24">
        <f t="shared" si="26"/>
        <v>0</v>
      </c>
      <c r="H113" s="719"/>
      <c r="I113" s="24">
        <f t="shared" si="27"/>
        <v>0.05</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v>
      </c>
      <c r="F114" s="719"/>
      <c r="G114" s="24">
        <f t="shared" si="26"/>
        <v>0</v>
      </c>
      <c r="H114" s="719"/>
      <c r="I114" s="24">
        <f t="shared" si="27"/>
        <v>0.05</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v>
      </c>
      <c r="F115" s="719"/>
      <c r="G115" s="24">
        <f t="shared" si="26"/>
        <v>0</v>
      </c>
      <c r="H115" s="719"/>
      <c r="I115" s="24">
        <f t="shared" si="27"/>
        <v>0.05</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v>
      </c>
      <c r="F116" s="719"/>
      <c r="G116" s="24">
        <f t="shared" si="26"/>
        <v>0</v>
      </c>
      <c r="H116" s="719"/>
      <c r="I116" s="24">
        <f t="shared" si="27"/>
        <v>0.05</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v>
      </c>
      <c r="F117" s="719"/>
      <c r="G117" s="24">
        <f t="shared" si="26"/>
        <v>0</v>
      </c>
      <c r="H117" s="719"/>
      <c r="I117" s="24">
        <f t="shared" si="27"/>
        <v>0.05</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v>
      </c>
      <c r="F118" s="719"/>
      <c r="G118" s="24">
        <f t="shared" si="26"/>
        <v>0</v>
      </c>
      <c r="H118" s="719"/>
      <c r="I118" s="24">
        <f t="shared" si="27"/>
        <v>0.05</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v>
      </c>
      <c r="F119" s="719"/>
      <c r="G119" s="24">
        <f t="shared" si="26"/>
        <v>0</v>
      </c>
      <c r="H119" s="719"/>
      <c r="I119" s="24">
        <f t="shared" si="27"/>
        <v>0.05</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v>
      </c>
      <c r="F120" s="719"/>
      <c r="G120" s="24">
        <f t="shared" si="26"/>
        <v>0</v>
      </c>
      <c r="H120" s="719"/>
      <c r="I120" s="24">
        <f t="shared" si="27"/>
        <v>0.05</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v>
      </c>
      <c r="F121" s="719"/>
      <c r="G121" s="24">
        <f t="shared" si="26"/>
        <v>0</v>
      </c>
      <c r="H121" s="719"/>
      <c r="I121" s="24">
        <f t="shared" si="27"/>
        <v>0.05</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v>
      </c>
      <c r="F122" s="719"/>
      <c r="G122" s="24">
        <f t="shared" si="26"/>
        <v>0</v>
      </c>
      <c r="H122" s="719"/>
      <c r="I122" s="24">
        <f t="shared" si="27"/>
        <v>0.05</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v>
      </c>
      <c r="F123" s="719"/>
      <c r="G123" s="24">
        <f t="shared" si="26"/>
        <v>0</v>
      </c>
      <c r="H123" s="719"/>
      <c r="I123" s="24">
        <f t="shared" si="27"/>
        <v>0.05</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v>
      </c>
      <c r="F124" s="719"/>
      <c r="G124" s="24">
        <f t="shared" si="26"/>
        <v>0</v>
      </c>
      <c r="H124" s="719"/>
      <c r="I124" s="24">
        <f t="shared" si="27"/>
        <v>0.05</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v>
      </c>
      <c r="F125" s="719"/>
      <c r="G125" s="24">
        <f t="shared" si="26"/>
        <v>0</v>
      </c>
      <c r="H125" s="719"/>
      <c r="I125" s="24">
        <f t="shared" si="27"/>
        <v>0.05</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v>
      </c>
      <c r="F126" s="719"/>
      <c r="G126" s="24">
        <f t="shared" si="26"/>
        <v>0</v>
      </c>
      <c r="H126" s="719"/>
      <c r="I126" s="24">
        <f t="shared" si="27"/>
        <v>0.05</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v>
      </c>
      <c r="F127" s="719"/>
      <c r="G127" s="24">
        <f t="shared" si="26"/>
        <v>0</v>
      </c>
      <c r="H127" s="719"/>
      <c r="I127" s="24">
        <f t="shared" si="27"/>
        <v>0.05</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v>
      </c>
      <c r="F128" s="719"/>
      <c r="G128" s="24">
        <f t="shared" si="26"/>
        <v>0</v>
      </c>
      <c r="H128" s="719"/>
      <c r="I128" s="24">
        <f t="shared" si="27"/>
        <v>0.05</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v>
      </c>
      <c r="F129" s="719"/>
      <c r="G129" s="24">
        <f t="shared" si="26"/>
        <v>0</v>
      </c>
      <c r="H129" s="719"/>
      <c r="I129" s="24">
        <f t="shared" si="27"/>
        <v>0.05</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v>
      </c>
      <c r="F130" s="719"/>
      <c r="G130" s="24">
        <f t="shared" si="26"/>
        <v>0</v>
      </c>
      <c r="H130" s="719"/>
      <c r="I130" s="24">
        <f t="shared" si="27"/>
        <v>0.05</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v>
      </c>
      <c r="F131" s="719"/>
      <c r="G131" s="24">
        <f t="shared" si="26"/>
        <v>0</v>
      </c>
      <c r="H131" s="719"/>
      <c r="I131" s="24">
        <f t="shared" si="27"/>
        <v>0.05</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v>
      </c>
      <c r="F132" s="719"/>
      <c r="G132" s="24">
        <f t="shared" si="26"/>
        <v>0</v>
      </c>
      <c r="H132" s="719"/>
      <c r="I132" s="24">
        <f t="shared" si="27"/>
        <v>0.05</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v>
      </c>
      <c r="F133" s="719"/>
      <c r="G133" s="24">
        <f t="shared" si="26"/>
        <v>0</v>
      </c>
      <c r="H133" s="719"/>
      <c r="I133" s="24">
        <f t="shared" si="27"/>
        <v>0.05</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v>
      </c>
      <c r="F134" s="719"/>
      <c r="G134" s="24">
        <f t="shared" si="26"/>
        <v>0</v>
      </c>
      <c r="H134" s="719"/>
      <c r="I134" s="24">
        <f t="shared" si="27"/>
        <v>0.05</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v>
      </c>
      <c r="F135" s="719"/>
      <c r="G135" s="24">
        <f t="shared" si="26"/>
        <v>0</v>
      </c>
      <c r="H135" s="719"/>
      <c r="I135" s="24">
        <f t="shared" si="27"/>
        <v>0.05</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v>
      </c>
      <c r="F136" s="719"/>
      <c r="G136" s="24">
        <f t="shared" si="26"/>
        <v>0</v>
      </c>
      <c r="H136" s="719"/>
      <c r="I136" s="24">
        <f t="shared" si="27"/>
        <v>0.05</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v>
      </c>
      <c r="F137" s="719"/>
      <c r="G137" s="24">
        <f t="shared" si="26"/>
        <v>0</v>
      </c>
      <c r="H137" s="719"/>
      <c r="I137" s="24">
        <f t="shared" si="27"/>
        <v>0.05</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v>
      </c>
      <c r="F138" s="719"/>
      <c r="G138" s="24">
        <f t="shared" si="26"/>
        <v>0</v>
      </c>
      <c r="H138" s="719"/>
      <c r="I138" s="24">
        <f t="shared" si="27"/>
        <v>0.05</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v>
      </c>
      <c r="F139" s="719"/>
      <c r="G139" s="24">
        <f t="shared" si="26"/>
        <v>0</v>
      </c>
      <c r="H139" s="719"/>
      <c r="I139" s="24">
        <f t="shared" si="27"/>
        <v>0.05</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v>
      </c>
      <c r="F140" s="719"/>
      <c r="G140" s="24">
        <f t="shared" si="26"/>
        <v>0</v>
      </c>
      <c r="H140" s="719"/>
      <c r="I140" s="24">
        <f t="shared" si="27"/>
        <v>0.05</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v>
      </c>
      <c r="F141" s="719"/>
      <c r="G141" s="24">
        <f t="shared" si="26"/>
        <v>0</v>
      </c>
      <c r="H141" s="719"/>
      <c r="I141" s="24">
        <f t="shared" si="27"/>
        <v>0.05</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v>
      </c>
      <c r="F142" s="719"/>
      <c r="G142" s="24">
        <f t="shared" si="26"/>
        <v>0</v>
      </c>
      <c r="H142" s="719"/>
      <c r="I142" s="24">
        <f t="shared" si="27"/>
        <v>0.05</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v>
      </c>
      <c r="F143" s="719"/>
      <c r="G143" s="24">
        <f t="shared" si="26"/>
        <v>0</v>
      </c>
      <c r="H143" s="719"/>
      <c r="I143" s="24">
        <f t="shared" si="27"/>
        <v>0.05</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v>
      </c>
      <c r="F144" s="719"/>
      <c r="G144" s="24">
        <f t="shared" si="26"/>
        <v>0</v>
      </c>
      <c r="H144" s="719"/>
      <c r="I144" s="24">
        <f t="shared" si="27"/>
        <v>0.05</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v>
      </c>
      <c r="F145" s="719"/>
      <c r="G145" s="24">
        <f t="shared" si="26"/>
        <v>0</v>
      </c>
      <c r="H145" s="719"/>
      <c r="I145" s="24">
        <f t="shared" si="27"/>
        <v>0.05</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v>
      </c>
      <c r="F146" s="719"/>
      <c r="G146" s="24">
        <f t="shared" si="26"/>
        <v>0</v>
      </c>
      <c r="H146" s="719"/>
      <c r="I146" s="24">
        <f t="shared" si="27"/>
        <v>0.05</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v>
      </c>
      <c r="F147" s="719"/>
      <c r="G147" s="24">
        <f t="shared" si="26"/>
        <v>0</v>
      </c>
      <c r="H147" s="719"/>
      <c r="I147" s="24">
        <f t="shared" si="27"/>
        <v>0.05</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v>
      </c>
      <c r="F148" s="719"/>
      <c r="G148" s="24">
        <f t="shared" si="26"/>
        <v>0</v>
      </c>
      <c r="H148" s="719"/>
      <c r="I148" s="24">
        <f t="shared" si="27"/>
        <v>0.05</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v>
      </c>
      <c r="F149" s="719"/>
      <c r="G149" s="24">
        <f t="shared" si="26"/>
        <v>0</v>
      </c>
      <c r="H149" s="719"/>
      <c r="I149" s="24">
        <f t="shared" si="27"/>
        <v>0.05</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v>
      </c>
      <c r="F150" s="719"/>
      <c r="G150" s="24">
        <f t="shared" si="26"/>
        <v>0</v>
      </c>
      <c r="H150" s="719"/>
      <c r="I150" s="24">
        <f t="shared" si="27"/>
        <v>0.05</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v>
      </c>
      <c r="F151" s="719"/>
      <c r="G151" s="24">
        <f t="shared" si="26"/>
        <v>0</v>
      </c>
      <c r="H151" s="719"/>
      <c r="I151" s="24">
        <f t="shared" si="27"/>
        <v>0.05</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v>
      </c>
      <c r="F152" s="719"/>
      <c r="G152" s="24">
        <f t="shared" si="26"/>
        <v>0</v>
      </c>
      <c r="H152" s="719"/>
      <c r="I152" s="24">
        <f t="shared" si="27"/>
        <v>0.05</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v>
      </c>
      <c r="F153" s="719"/>
      <c r="G153" s="24">
        <f t="shared" si="26"/>
        <v>0</v>
      </c>
      <c r="H153" s="719"/>
      <c r="I153" s="24">
        <f t="shared" si="27"/>
        <v>0.05</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v>
      </c>
      <c r="F154" s="719"/>
      <c r="G154" s="24">
        <f t="shared" ref="G154:G217" si="36">(SUMIF($7:$7,F154,$8:$8)-SUMIF($7:$7,$F$24,$8:$8)+100)/100</f>
        <v>0</v>
      </c>
      <c r="H154" s="719"/>
      <c r="I154" s="24">
        <f t="shared" ref="I154:I217" si="37">(SUMIF($9:$9,H154,$10:$10)-SUMIF($9:$9,$H$24,$10:$10)+100)/100</f>
        <v>0.05</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v>
      </c>
      <c r="F155" s="719"/>
      <c r="G155" s="24">
        <f t="shared" si="36"/>
        <v>0</v>
      </c>
      <c r="H155" s="719"/>
      <c r="I155" s="24">
        <f t="shared" si="37"/>
        <v>0.05</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v>
      </c>
      <c r="F156" s="719"/>
      <c r="G156" s="24">
        <f t="shared" si="36"/>
        <v>0</v>
      </c>
      <c r="H156" s="719"/>
      <c r="I156" s="24">
        <f t="shared" si="37"/>
        <v>0.05</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v>
      </c>
      <c r="F157" s="719"/>
      <c r="G157" s="24">
        <f t="shared" si="36"/>
        <v>0</v>
      </c>
      <c r="H157" s="719"/>
      <c r="I157" s="24">
        <f t="shared" si="37"/>
        <v>0.05</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v>
      </c>
      <c r="F158" s="719"/>
      <c r="G158" s="24">
        <f t="shared" si="36"/>
        <v>0</v>
      </c>
      <c r="H158" s="719"/>
      <c r="I158" s="24">
        <f t="shared" si="37"/>
        <v>0.05</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v>
      </c>
      <c r="F159" s="719"/>
      <c r="G159" s="24">
        <f t="shared" si="36"/>
        <v>0</v>
      </c>
      <c r="H159" s="719"/>
      <c r="I159" s="24">
        <f t="shared" si="37"/>
        <v>0.05</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v>
      </c>
      <c r="F160" s="719"/>
      <c r="G160" s="24">
        <f t="shared" si="36"/>
        <v>0</v>
      </c>
      <c r="H160" s="719"/>
      <c r="I160" s="24">
        <f t="shared" si="37"/>
        <v>0.05</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v>
      </c>
      <c r="F161" s="719"/>
      <c r="G161" s="24">
        <f t="shared" si="36"/>
        <v>0</v>
      </c>
      <c r="H161" s="719"/>
      <c r="I161" s="24">
        <f t="shared" si="37"/>
        <v>0.05</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v>
      </c>
      <c r="F162" s="719"/>
      <c r="G162" s="24">
        <f t="shared" si="36"/>
        <v>0</v>
      </c>
      <c r="H162" s="719"/>
      <c r="I162" s="24">
        <f t="shared" si="37"/>
        <v>0.05</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v>
      </c>
      <c r="F163" s="719"/>
      <c r="G163" s="24">
        <f t="shared" si="36"/>
        <v>0</v>
      </c>
      <c r="H163" s="719"/>
      <c r="I163" s="24">
        <f t="shared" si="37"/>
        <v>0.05</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v>
      </c>
      <c r="F164" s="719"/>
      <c r="G164" s="24">
        <f t="shared" si="36"/>
        <v>0</v>
      </c>
      <c r="H164" s="719"/>
      <c r="I164" s="24">
        <f t="shared" si="37"/>
        <v>0.05</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v>
      </c>
      <c r="F165" s="719"/>
      <c r="G165" s="24">
        <f t="shared" si="36"/>
        <v>0</v>
      </c>
      <c r="H165" s="719"/>
      <c r="I165" s="24">
        <f t="shared" si="37"/>
        <v>0.05</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v>
      </c>
      <c r="F166" s="719"/>
      <c r="G166" s="24">
        <f t="shared" si="36"/>
        <v>0</v>
      </c>
      <c r="H166" s="719"/>
      <c r="I166" s="24">
        <f t="shared" si="37"/>
        <v>0.05</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v>
      </c>
      <c r="F167" s="719"/>
      <c r="G167" s="24">
        <f t="shared" si="36"/>
        <v>0</v>
      </c>
      <c r="H167" s="719"/>
      <c r="I167" s="24">
        <f t="shared" si="37"/>
        <v>0.05</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v>
      </c>
      <c r="F168" s="719"/>
      <c r="G168" s="24">
        <f t="shared" si="36"/>
        <v>0</v>
      </c>
      <c r="H168" s="719"/>
      <c r="I168" s="24">
        <f t="shared" si="37"/>
        <v>0.05</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v>
      </c>
      <c r="F169" s="719"/>
      <c r="G169" s="24">
        <f t="shared" si="36"/>
        <v>0</v>
      </c>
      <c r="H169" s="719"/>
      <c r="I169" s="24">
        <f t="shared" si="37"/>
        <v>0.05</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v>
      </c>
      <c r="F170" s="719"/>
      <c r="G170" s="24">
        <f t="shared" si="36"/>
        <v>0</v>
      </c>
      <c r="H170" s="719"/>
      <c r="I170" s="24">
        <f t="shared" si="37"/>
        <v>0.05</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v>
      </c>
      <c r="F171" s="719"/>
      <c r="G171" s="24">
        <f t="shared" si="36"/>
        <v>0</v>
      </c>
      <c r="H171" s="719"/>
      <c r="I171" s="24">
        <f t="shared" si="37"/>
        <v>0.05</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v>
      </c>
      <c r="F172" s="719"/>
      <c r="G172" s="24">
        <f t="shared" si="36"/>
        <v>0</v>
      </c>
      <c r="H172" s="719"/>
      <c r="I172" s="24">
        <f t="shared" si="37"/>
        <v>0.05</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v>
      </c>
      <c r="F173" s="719"/>
      <c r="G173" s="24">
        <f t="shared" si="36"/>
        <v>0</v>
      </c>
      <c r="H173" s="719"/>
      <c r="I173" s="24">
        <f t="shared" si="37"/>
        <v>0.05</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v>
      </c>
      <c r="F174" s="719"/>
      <c r="G174" s="24">
        <f t="shared" si="36"/>
        <v>0</v>
      </c>
      <c r="H174" s="719"/>
      <c r="I174" s="24">
        <f t="shared" si="37"/>
        <v>0.05</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v>
      </c>
      <c r="F175" s="719"/>
      <c r="G175" s="24">
        <f t="shared" si="36"/>
        <v>0</v>
      </c>
      <c r="H175" s="719"/>
      <c r="I175" s="24">
        <f t="shared" si="37"/>
        <v>0.05</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v>
      </c>
      <c r="F176" s="719"/>
      <c r="G176" s="24">
        <f t="shared" si="36"/>
        <v>0</v>
      </c>
      <c r="H176" s="719"/>
      <c r="I176" s="24">
        <f t="shared" si="37"/>
        <v>0.05</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v>
      </c>
      <c r="F177" s="719"/>
      <c r="G177" s="24">
        <f t="shared" si="36"/>
        <v>0</v>
      </c>
      <c r="H177" s="719"/>
      <c r="I177" s="24">
        <f t="shared" si="37"/>
        <v>0.05</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v>
      </c>
      <c r="F178" s="719"/>
      <c r="G178" s="24">
        <f t="shared" si="36"/>
        <v>0</v>
      </c>
      <c r="H178" s="719"/>
      <c r="I178" s="24">
        <f t="shared" si="37"/>
        <v>0.05</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v>
      </c>
      <c r="F179" s="719"/>
      <c r="G179" s="24">
        <f t="shared" si="36"/>
        <v>0</v>
      </c>
      <c r="H179" s="719"/>
      <c r="I179" s="24">
        <f t="shared" si="37"/>
        <v>0.05</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v>
      </c>
      <c r="F180" s="719"/>
      <c r="G180" s="24">
        <f t="shared" si="36"/>
        <v>0</v>
      </c>
      <c r="H180" s="719"/>
      <c r="I180" s="24">
        <f t="shared" si="37"/>
        <v>0.05</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v>
      </c>
      <c r="F181" s="719"/>
      <c r="G181" s="24">
        <f t="shared" si="36"/>
        <v>0</v>
      </c>
      <c r="H181" s="719"/>
      <c r="I181" s="24">
        <f t="shared" si="37"/>
        <v>0.05</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v>
      </c>
      <c r="F182" s="719"/>
      <c r="G182" s="24">
        <f t="shared" si="36"/>
        <v>0</v>
      </c>
      <c r="H182" s="719"/>
      <c r="I182" s="24">
        <f t="shared" si="37"/>
        <v>0.05</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v>
      </c>
      <c r="F183" s="719"/>
      <c r="G183" s="24">
        <f t="shared" si="36"/>
        <v>0</v>
      </c>
      <c r="H183" s="719"/>
      <c r="I183" s="24">
        <f t="shared" si="37"/>
        <v>0.05</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v>
      </c>
      <c r="F184" s="719"/>
      <c r="G184" s="24">
        <f t="shared" si="36"/>
        <v>0</v>
      </c>
      <c r="H184" s="719"/>
      <c r="I184" s="24">
        <f t="shared" si="37"/>
        <v>0.05</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v>
      </c>
      <c r="F185" s="719"/>
      <c r="G185" s="24">
        <f t="shared" si="36"/>
        <v>0</v>
      </c>
      <c r="H185" s="719"/>
      <c r="I185" s="24">
        <f t="shared" si="37"/>
        <v>0.05</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v>
      </c>
      <c r="F186" s="719"/>
      <c r="G186" s="24">
        <f t="shared" si="36"/>
        <v>0</v>
      </c>
      <c r="H186" s="719"/>
      <c r="I186" s="24">
        <f t="shared" si="37"/>
        <v>0.05</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v>
      </c>
      <c r="F187" s="719"/>
      <c r="G187" s="24">
        <f t="shared" si="36"/>
        <v>0</v>
      </c>
      <c r="H187" s="719"/>
      <c r="I187" s="24">
        <f t="shared" si="37"/>
        <v>0.05</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v>
      </c>
      <c r="F188" s="719"/>
      <c r="G188" s="24">
        <f t="shared" si="36"/>
        <v>0</v>
      </c>
      <c r="H188" s="719"/>
      <c r="I188" s="24">
        <f t="shared" si="37"/>
        <v>0.05</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v>
      </c>
      <c r="F189" s="719"/>
      <c r="G189" s="24">
        <f t="shared" si="36"/>
        <v>0</v>
      </c>
      <c r="H189" s="719"/>
      <c r="I189" s="24">
        <f t="shared" si="37"/>
        <v>0.05</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v>
      </c>
      <c r="F190" s="719"/>
      <c r="G190" s="24">
        <f t="shared" si="36"/>
        <v>0</v>
      </c>
      <c r="H190" s="719"/>
      <c r="I190" s="24">
        <f t="shared" si="37"/>
        <v>0.05</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v>
      </c>
      <c r="F191" s="719"/>
      <c r="G191" s="24">
        <f t="shared" si="36"/>
        <v>0</v>
      </c>
      <c r="H191" s="719"/>
      <c r="I191" s="24">
        <f t="shared" si="37"/>
        <v>0.05</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v>
      </c>
      <c r="F192" s="719"/>
      <c r="G192" s="24">
        <f t="shared" si="36"/>
        <v>0</v>
      </c>
      <c r="H192" s="719"/>
      <c r="I192" s="24">
        <f t="shared" si="37"/>
        <v>0.05</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v>
      </c>
      <c r="F193" s="719"/>
      <c r="G193" s="24">
        <f t="shared" si="36"/>
        <v>0</v>
      </c>
      <c r="H193" s="719"/>
      <c r="I193" s="24">
        <f t="shared" si="37"/>
        <v>0.05</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v>
      </c>
      <c r="F194" s="719"/>
      <c r="G194" s="24">
        <f t="shared" si="36"/>
        <v>0</v>
      </c>
      <c r="H194" s="719"/>
      <c r="I194" s="24">
        <f t="shared" si="37"/>
        <v>0.05</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v>
      </c>
      <c r="F195" s="719"/>
      <c r="G195" s="24">
        <f t="shared" si="36"/>
        <v>0</v>
      </c>
      <c r="H195" s="719"/>
      <c r="I195" s="24">
        <f t="shared" si="37"/>
        <v>0.05</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v>
      </c>
      <c r="F196" s="719"/>
      <c r="G196" s="24">
        <f t="shared" si="36"/>
        <v>0</v>
      </c>
      <c r="H196" s="719"/>
      <c r="I196" s="24">
        <f t="shared" si="37"/>
        <v>0.05</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v>
      </c>
      <c r="F197" s="719"/>
      <c r="G197" s="24">
        <f t="shared" si="36"/>
        <v>0</v>
      </c>
      <c r="H197" s="719"/>
      <c r="I197" s="24">
        <f t="shared" si="37"/>
        <v>0.05</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v>
      </c>
      <c r="F198" s="719"/>
      <c r="G198" s="24">
        <f t="shared" si="36"/>
        <v>0</v>
      </c>
      <c r="H198" s="719"/>
      <c r="I198" s="24">
        <f t="shared" si="37"/>
        <v>0.05</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v>
      </c>
      <c r="F199" s="719"/>
      <c r="G199" s="24">
        <f t="shared" si="36"/>
        <v>0</v>
      </c>
      <c r="H199" s="719"/>
      <c r="I199" s="24">
        <f t="shared" si="37"/>
        <v>0.05</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v>
      </c>
      <c r="F200" s="719"/>
      <c r="G200" s="24">
        <f t="shared" si="36"/>
        <v>0</v>
      </c>
      <c r="H200" s="719"/>
      <c r="I200" s="24">
        <f t="shared" si="37"/>
        <v>0.05</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v>
      </c>
      <c r="F201" s="719"/>
      <c r="G201" s="24">
        <f t="shared" si="36"/>
        <v>0</v>
      </c>
      <c r="H201" s="719"/>
      <c r="I201" s="24">
        <f t="shared" si="37"/>
        <v>0.05</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v>
      </c>
      <c r="F202" s="719"/>
      <c r="G202" s="24">
        <f t="shared" si="36"/>
        <v>0</v>
      </c>
      <c r="H202" s="719"/>
      <c r="I202" s="24">
        <f t="shared" si="37"/>
        <v>0.05</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v>
      </c>
      <c r="F203" s="719"/>
      <c r="G203" s="24">
        <f t="shared" si="36"/>
        <v>0</v>
      </c>
      <c r="H203" s="719"/>
      <c r="I203" s="24">
        <f t="shared" si="37"/>
        <v>0.05</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v>
      </c>
      <c r="F204" s="719"/>
      <c r="G204" s="24">
        <f t="shared" si="36"/>
        <v>0</v>
      </c>
      <c r="H204" s="719"/>
      <c r="I204" s="24">
        <f t="shared" si="37"/>
        <v>0.05</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v>
      </c>
      <c r="F205" s="719"/>
      <c r="G205" s="24">
        <f t="shared" si="36"/>
        <v>0</v>
      </c>
      <c r="H205" s="719"/>
      <c r="I205" s="24">
        <f t="shared" si="37"/>
        <v>0.05</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v>
      </c>
      <c r="F206" s="719"/>
      <c r="G206" s="24">
        <f t="shared" si="36"/>
        <v>0</v>
      </c>
      <c r="H206" s="719"/>
      <c r="I206" s="24">
        <f t="shared" si="37"/>
        <v>0.05</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v>
      </c>
      <c r="F207" s="719"/>
      <c r="G207" s="24">
        <f t="shared" si="36"/>
        <v>0</v>
      </c>
      <c r="H207" s="719"/>
      <c r="I207" s="24">
        <f t="shared" si="37"/>
        <v>0.05</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v>
      </c>
      <c r="F208" s="719"/>
      <c r="G208" s="24">
        <f t="shared" si="36"/>
        <v>0</v>
      </c>
      <c r="H208" s="719"/>
      <c r="I208" s="24">
        <f t="shared" si="37"/>
        <v>0.05</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v>
      </c>
      <c r="F209" s="719"/>
      <c r="G209" s="24">
        <f t="shared" si="36"/>
        <v>0</v>
      </c>
      <c r="H209" s="719"/>
      <c r="I209" s="24">
        <f t="shared" si="37"/>
        <v>0.05</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v>
      </c>
      <c r="F210" s="719"/>
      <c r="G210" s="24">
        <f t="shared" si="36"/>
        <v>0</v>
      </c>
      <c r="H210" s="719"/>
      <c r="I210" s="24">
        <f t="shared" si="37"/>
        <v>0.05</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v>
      </c>
      <c r="F211" s="719"/>
      <c r="G211" s="24">
        <f t="shared" si="36"/>
        <v>0</v>
      </c>
      <c r="H211" s="719"/>
      <c r="I211" s="24">
        <f t="shared" si="37"/>
        <v>0.05</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v>
      </c>
      <c r="F212" s="719"/>
      <c r="G212" s="24">
        <f t="shared" si="36"/>
        <v>0</v>
      </c>
      <c r="H212" s="719"/>
      <c r="I212" s="24">
        <f t="shared" si="37"/>
        <v>0.05</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v>
      </c>
      <c r="F213" s="719"/>
      <c r="G213" s="24">
        <f t="shared" si="36"/>
        <v>0</v>
      </c>
      <c r="H213" s="719"/>
      <c r="I213" s="24">
        <f t="shared" si="37"/>
        <v>0.05</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v>
      </c>
      <c r="F214" s="719"/>
      <c r="G214" s="24">
        <f t="shared" si="36"/>
        <v>0</v>
      </c>
      <c r="H214" s="719"/>
      <c r="I214" s="24">
        <f t="shared" si="37"/>
        <v>0.05</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v>
      </c>
      <c r="F215" s="719"/>
      <c r="G215" s="24">
        <f t="shared" si="36"/>
        <v>0</v>
      </c>
      <c r="H215" s="719"/>
      <c r="I215" s="24">
        <f t="shared" si="37"/>
        <v>0.05</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v>
      </c>
      <c r="F216" s="719"/>
      <c r="G216" s="24">
        <f t="shared" si="36"/>
        <v>0</v>
      </c>
      <c r="H216" s="719"/>
      <c r="I216" s="24">
        <f t="shared" si="37"/>
        <v>0.05</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v>
      </c>
      <c r="F217" s="719"/>
      <c r="G217" s="24">
        <f t="shared" si="36"/>
        <v>0</v>
      </c>
      <c r="H217" s="719"/>
      <c r="I217" s="24">
        <f t="shared" si="37"/>
        <v>0.05</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v>
      </c>
      <c r="F218" s="719"/>
      <c r="G218" s="24">
        <f t="shared" ref="G218:G281" si="46">(SUMIF($7:$7,F218,$8:$8)-SUMIF($7:$7,$F$24,$8:$8)+100)/100</f>
        <v>0</v>
      </c>
      <c r="H218" s="719"/>
      <c r="I218" s="24">
        <f t="shared" ref="I218:I281" si="47">(SUMIF($9:$9,H218,$10:$10)-SUMIF($9:$9,$H$24,$10:$10)+100)/100</f>
        <v>0.05</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v>
      </c>
      <c r="F219" s="719"/>
      <c r="G219" s="24">
        <f t="shared" si="46"/>
        <v>0</v>
      </c>
      <c r="H219" s="719"/>
      <c r="I219" s="24">
        <f t="shared" si="47"/>
        <v>0.05</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v>
      </c>
      <c r="F220" s="719"/>
      <c r="G220" s="24">
        <f t="shared" si="46"/>
        <v>0</v>
      </c>
      <c r="H220" s="719"/>
      <c r="I220" s="24">
        <f t="shared" si="47"/>
        <v>0.05</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v>
      </c>
      <c r="F221" s="719"/>
      <c r="G221" s="24">
        <f t="shared" si="46"/>
        <v>0</v>
      </c>
      <c r="H221" s="719"/>
      <c r="I221" s="24">
        <f t="shared" si="47"/>
        <v>0.05</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v>
      </c>
      <c r="F222" s="719"/>
      <c r="G222" s="24">
        <f t="shared" si="46"/>
        <v>0</v>
      </c>
      <c r="H222" s="719"/>
      <c r="I222" s="24">
        <f t="shared" si="47"/>
        <v>0.05</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v>
      </c>
      <c r="F223" s="719"/>
      <c r="G223" s="24">
        <f t="shared" si="46"/>
        <v>0</v>
      </c>
      <c r="H223" s="719"/>
      <c r="I223" s="24">
        <f t="shared" si="47"/>
        <v>0.05</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v>
      </c>
      <c r="F224" s="719"/>
      <c r="G224" s="24">
        <f t="shared" si="46"/>
        <v>0</v>
      </c>
      <c r="H224" s="719"/>
      <c r="I224" s="24">
        <f t="shared" si="47"/>
        <v>0.05</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v>
      </c>
      <c r="F225" s="719"/>
      <c r="G225" s="24">
        <f t="shared" si="46"/>
        <v>0</v>
      </c>
      <c r="H225" s="719"/>
      <c r="I225" s="24">
        <f t="shared" si="47"/>
        <v>0.05</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v>
      </c>
      <c r="F226" s="719"/>
      <c r="G226" s="24">
        <f t="shared" si="46"/>
        <v>0</v>
      </c>
      <c r="H226" s="719"/>
      <c r="I226" s="24">
        <f t="shared" si="47"/>
        <v>0.05</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v>
      </c>
      <c r="F227" s="719"/>
      <c r="G227" s="24">
        <f t="shared" si="46"/>
        <v>0</v>
      </c>
      <c r="H227" s="719"/>
      <c r="I227" s="24">
        <f t="shared" si="47"/>
        <v>0.05</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v>
      </c>
      <c r="F228" s="719"/>
      <c r="G228" s="24">
        <f t="shared" si="46"/>
        <v>0</v>
      </c>
      <c r="H228" s="719"/>
      <c r="I228" s="24">
        <f t="shared" si="47"/>
        <v>0.05</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v>
      </c>
      <c r="F229" s="719"/>
      <c r="G229" s="24">
        <f t="shared" si="46"/>
        <v>0</v>
      </c>
      <c r="H229" s="719"/>
      <c r="I229" s="24">
        <f t="shared" si="47"/>
        <v>0.05</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v>
      </c>
      <c r="F230" s="719"/>
      <c r="G230" s="24">
        <f t="shared" si="46"/>
        <v>0</v>
      </c>
      <c r="H230" s="719"/>
      <c r="I230" s="24">
        <f t="shared" si="47"/>
        <v>0.05</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v>
      </c>
      <c r="F231" s="719"/>
      <c r="G231" s="24">
        <f t="shared" si="46"/>
        <v>0</v>
      </c>
      <c r="H231" s="719"/>
      <c r="I231" s="24">
        <f t="shared" si="47"/>
        <v>0.05</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v>
      </c>
      <c r="F232" s="719"/>
      <c r="G232" s="24">
        <f t="shared" si="46"/>
        <v>0</v>
      </c>
      <c r="H232" s="719"/>
      <c r="I232" s="24">
        <f t="shared" si="47"/>
        <v>0.05</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v>
      </c>
      <c r="F233" s="719"/>
      <c r="G233" s="24">
        <f t="shared" si="46"/>
        <v>0</v>
      </c>
      <c r="H233" s="719"/>
      <c r="I233" s="24">
        <f t="shared" si="47"/>
        <v>0.05</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v>
      </c>
      <c r="F234" s="719"/>
      <c r="G234" s="24">
        <f t="shared" si="46"/>
        <v>0</v>
      </c>
      <c r="H234" s="719"/>
      <c r="I234" s="24">
        <f t="shared" si="47"/>
        <v>0.05</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v>
      </c>
      <c r="F235" s="719"/>
      <c r="G235" s="24">
        <f t="shared" si="46"/>
        <v>0</v>
      </c>
      <c r="H235" s="719"/>
      <c r="I235" s="24">
        <f t="shared" si="47"/>
        <v>0.05</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v>
      </c>
      <c r="F236" s="719"/>
      <c r="G236" s="24">
        <f t="shared" si="46"/>
        <v>0</v>
      </c>
      <c r="H236" s="719"/>
      <c r="I236" s="24">
        <f t="shared" si="47"/>
        <v>0.05</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v>
      </c>
      <c r="F237" s="719"/>
      <c r="G237" s="24">
        <f t="shared" si="46"/>
        <v>0</v>
      </c>
      <c r="H237" s="719"/>
      <c r="I237" s="24">
        <f t="shared" si="47"/>
        <v>0.05</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v>
      </c>
      <c r="F238" s="719"/>
      <c r="G238" s="24">
        <f t="shared" si="46"/>
        <v>0</v>
      </c>
      <c r="H238" s="719"/>
      <c r="I238" s="24">
        <f t="shared" si="47"/>
        <v>0.05</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v>
      </c>
      <c r="F239" s="719"/>
      <c r="G239" s="24">
        <f t="shared" si="46"/>
        <v>0</v>
      </c>
      <c r="H239" s="719"/>
      <c r="I239" s="24">
        <f t="shared" si="47"/>
        <v>0.05</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v>
      </c>
      <c r="F240" s="719"/>
      <c r="G240" s="24">
        <f t="shared" si="46"/>
        <v>0</v>
      </c>
      <c r="H240" s="719"/>
      <c r="I240" s="24">
        <f t="shared" si="47"/>
        <v>0.05</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v>
      </c>
      <c r="F241" s="719"/>
      <c r="G241" s="24">
        <f t="shared" si="46"/>
        <v>0</v>
      </c>
      <c r="H241" s="719"/>
      <c r="I241" s="24">
        <f t="shared" si="47"/>
        <v>0.05</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v>
      </c>
      <c r="F242" s="719"/>
      <c r="G242" s="24">
        <f t="shared" si="46"/>
        <v>0</v>
      </c>
      <c r="H242" s="719"/>
      <c r="I242" s="24">
        <f t="shared" si="47"/>
        <v>0.05</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v>
      </c>
      <c r="F243" s="719"/>
      <c r="G243" s="24">
        <f t="shared" si="46"/>
        <v>0</v>
      </c>
      <c r="H243" s="719"/>
      <c r="I243" s="24">
        <f t="shared" si="47"/>
        <v>0.05</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v>
      </c>
      <c r="F244" s="719"/>
      <c r="G244" s="24">
        <f t="shared" si="46"/>
        <v>0</v>
      </c>
      <c r="H244" s="719"/>
      <c r="I244" s="24">
        <f t="shared" si="47"/>
        <v>0.05</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v>
      </c>
      <c r="F245" s="719"/>
      <c r="G245" s="24">
        <f t="shared" si="46"/>
        <v>0</v>
      </c>
      <c r="H245" s="719"/>
      <c r="I245" s="24">
        <f t="shared" si="47"/>
        <v>0.05</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v>
      </c>
      <c r="F246" s="719"/>
      <c r="G246" s="24">
        <f t="shared" si="46"/>
        <v>0</v>
      </c>
      <c r="H246" s="719"/>
      <c r="I246" s="24">
        <f t="shared" si="47"/>
        <v>0.05</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v>
      </c>
      <c r="F247" s="719"/>
      <c r="G247" s="24">
        <f t="shared" si="46"/>
        <v>0</v>
      </c>
      <c r="H247" s="719"/>
      <c r="I247" s="24">
        <f t="shared" si="47"/>
        <v>0.05</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v>
      </c>
      <c r="F248" s="719"/>
      <c r="G248" s="24">
        <f t="shared" si="46"/>
        <v>0</v>
      </c>
      <c r="H248" s="719"/>
      <c r="I248" s="24">
        <f t="shared" si="47"/>
        <v>0.05</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v>
      </c>
      <c r="F249" s="719"/>
      <c r="G249" s="24">
        <f t="shared" si="46"/>
        <v>0</v>
      </c>
      <c r="H249" s="719"/>
      <c r="I249" s="24">
        <f t="shared" si="47"/>
        <v>0.05</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v>
      </c>
      <c r="F250" s="719"/>
      <c r="G250" s="24">
        <f t="shared" si="46"/>
        <v>0</v>
      </c>
      <c r="H250" s="719"/>
      <c r="I250" s="24">
        <f t="shared" si="47"/>
        <v>0.05</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v>
      </c>
      <c r="F251" s="719"/>
      <c r="G251" s="24">
        <f t="shared" si="46"/>
        <v>0</v>
      </c>
      <c r="H251" s="719"/>
      <c r="I251" s="24">
        <f t="shared" si="47"/>
        <v>0.05</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v>
      </c>
      <c r="F252" s="719"/>
      <c r="G252" s="24">
        <f t="shared" si="46"/>
        <v>0</v>
      </c>
      <c r="H252" s="719"/>
      <c r="I252" s="24">
        <f t="shared" si="47"/>
        <v>0.05</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v>
      </c>
      <c r="F253" s="719"/>
      <c r="G253" s="24">
        <f t="shared" si="46"/>
        <v>0</v>
      </c>
      <c r="H253" s="719"/>
      <c r="I253" s="24">
        <f t="shared" si="47"/>
        <v>0.05</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v>
      </c>
      <c r="F254" s="719"/>
      <c r="G254" s="24">
        <f t="shared" si="46"/>
        <v>0</v>
      </c>
      <c r="H254" s="719"/>
      <c r="I254" s="24">
        <f t="shared" si="47"/>
        <v>0.05</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v>
      </c>
      <c r="F255" s="719"/>
      <c r="G255" s="24">
        <f t="shared" si="46"/>
        <v>0</v>
      </c>
      <c r="H255" s="719"/>
      <c r="I255" s="24">
        <f t="shared" si="47"/>
        <v>0.05</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v>
      </c>
      <c r="F256" s="719"/>
      <c r="G256" s="24">
        <f t="shared" si="46"/>
        <v>0</v>
      </c>
      <c r="H256" s="719"/>
      <c r="I256" s="24">
        <f t="shared" si="47"/>
        <v>0.05</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v>
      </c>
      <c r="F257" s="719"/>
      <c r="G257" s="24">
        <f t="shared" si="46"/>
        <v>0</v>
      </c>
      <c r="H257" s="719"/>
      <c r="I257" s="24">
        <f t="shared" si="47"/>
        <v>0.05</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v>
      </c>
      <c r="F258" s="719"/>
      <c r="G258" s="24">
        <f t="shared" si="46"/>
        <v>0</v>
      </c>
      <c r="H258" s="719"/>
      <c r="I258" s="24">
        <f t="shared" si="47"/>
        <v>0.05</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v>
      </c>
      <c r="F259" s="719"/>
      <c r="G259" s="24">
        <f t="shared" si="46"/>
        <v>0</v>
      </c>
      <c r="H259" s="719"/>
      <c r="I259" s="24">
        <f t="shared" si="47"/>
        <v>0.05</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v>
      </c>
      <c r="F260" s="719"/>
      <c r="G260" s="24">
        <f t="shared" si="46"/>
        <v>0</v>
      </c>
      <c r="H260" s="719"/>
      <c r="I260" s="24">
        <f t="shared" si="47"/>
        <v>0.05</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v>
      </c>
      <c r="F261" s="719"/>
      <c r="G261" s="24">
        <f t="shared" si="46"/>
        <v>0</v>
      </c>
      <c r="H261" s="719"/>
      <c r="I261" s="24">
        <f t="shared" si="47"/>
        <v>0.05</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v>
      </c>
      <c r="F262" s="719"/>
      <c r="G262" s="24">
        <f t="shared" si="46"/>
        <v>0</v>
      </c>
      <c r="H262" s="719"/>
      <c r="I262" s="24">
        <f t="shared" si="47"/>
        <v>0.05</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v>
      </c>
      <c r="F263" s="719"/>
      <c r="G263" s="24">
        <f t="shared" si="46"/>
        <v>0</v>
      </c>
      <c r="H263" s="719"/>
      <c r="I263" s="24">
        <f t="shared" si="47"/>
        <v>0.05</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v>
      </c>
      <c r="F264" s="719"/>
      <c r="G264" s="24">
        <f t="shared" si="46"/>
        <v>0</v>
      </c>
      <c r="H264" s="719"/>
      <c r="I264" s="24">
        <f t="shared" si="47"/>
        <v>0.05</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v>
      </c>
      <c r="F265" s="719"/>
      <c r="G265" s="24">
        <f t="shared" si="46"/>
        <v>0</v>
      </c>
      <c r="H265" s="719"/>
      <c r="I265" s="24">
        <f t="shared" si="47"/>
        <v>0.05</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v>
      </c>
      <c r="F266" s="719"/>
      <c r="G266" s="24">
        <f t="shared" si="46"/>
        <v>0</v>
      </c>
      <c r="H266" s="719"/>
      <c r="I266" s="24">
        <f t="shared" si="47"/>
        <v>0.05</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v>
      </c>
      <c r="F267" s="719"/>
      <c r="G267" s="24">
        <f t="shared" si="46"/>
        <v>0</v>
      </c>
      <c r="H267" s="719"/>
      <c r="I267" s="24">
        <f t="shared" si="47"/>
        <v>0.05</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v>
      </c>
      <c r="F268" s="719"/>
      <c r="G268" s="24">
        <f t="shared" si="46"/>
        <v>0</v>
      </c>
      <c r="H268" s="719"/>
      <c r="I268" s="24">
        <f t="shared" si="47"/>
        <v>0.05</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v>
      </c>
      <c r="F269" s="719"/>
      <c r="G269" s="24">
        <f t="shared" si="46"/>
        <v>0</v>
      </c>
      <c r="H269" s="719"/>
      <c r="I269" s="24">
        <f t="shared" si="47"/>
        <v>0.05</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v>
      </c>
      <c r="F270" s="719"/>
      <c r="G270" s="24">
        <f t="shared" si="46"/>
        <v>0</v>
      </c>
      <c r="H270" s="719"/>
      <c r="I270" s="24">
        <f t="shared" si="47"/>
        <v>0.05</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v>
      </c>
      <c r="F271" s="719"/>
      <c r="G271" s="24">
        <f t="shared" si="46"/>
        <v>0</v>
      </c>
      <c r="H271" s="719"/>
      <c r="I271" s="24">
        <f t="shared" si="47"/>
        <v>0.05</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v>
      </c>
      <c r="F272" s="719"/>
      <c r="G272" s="24">
        <f t="shared" si="46"/>
        <v>0</v>
      </c>
      <c r="H272" s="719"/>
      <c r="I272" s="24">
        <f t="shared" si="47"/>
        <v>0.05</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v>
      </c>
      <c r="F273" s="719"/>
      <c r="G273" s="24">
        <f t="shared" si="46"/>
        <v>0</v>
      </c>
      <c r="H273" s="719"/>
      <c r="I273" s="24">
        <f t="shared" si="47"/>
        <v>0.05</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v>
      </c>
      <c r="F274" s="719"/>
      <c r="G274" s="24">
        <f t="shared" si="46"/>
        <v>0</v>
      </c>
      <c r="H274" s="719"/>
      <c r="I274" s="24">
        <f t="shared" si="47"/>
        <v>0.05</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v>
      </c>
      <c r="F275" s="719"/>
      <c r="G275" s="24">
        <f t="shared" si="46"/>
        <v>0</v>
      </c>
      <c r="H275" s="719"/>
      <c r="I275" s="24">
        <f t="shared" si="47"/>
        <v>0.05</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v>
      </c>
      <c r="F276" s="719"/>
      <c r="G276" s="24">
        <f t="shared" si="46"/>
        <v>0</v>
      </c>
      <c r="H276" s="719"/>
      <c r="I276" s="24">
        <f t="shared" si="47"/>
        <v>0.05</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v>
      </c>
      <c r="F277" s="719"/>
      <c r="G277" s="24">
        <f t="shared" si="46"/>
        <v>0</v>
      </c>
      <c r="H277" s="719"/>
      <c r="I277" s="24">
        <f t="shared" si="47"/>
        <v>0.05</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v>
      </c>
      <c r="F278" s="719"/>
      <c r="G278" s="24">
        <f t="shared" si="46"/>
        <v>0</v>
      </c>
      <c r="H278" s="719"/>
      <c r="I278" s="24">
        <f t="shared" si="47"/>
        <v>0.05</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v>
      </c>
      <c r="F279" s="719"/>
      <c r="G279" s="24">
        <f t="shared" si="46"/>
        <v>0</v>
      </c>
      <c r="H279" s="719"/>
      <c r="I279" s="24">
        <f t="shared" si="47"/>
        <v>0.05</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v>
      </c>
      <c r="F280" s="719"/>
      <c r="G280" s="24">
        <f t="shared" si="46"/>
        <v>0</v>
      </c>
      <c r="H280" s="719"/>
      <c r="I280" s="24">
        <f t="shared" si="47"/>
        <v>0.05</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v>
      </c>
      <c r="F281" s="719"/>
      <c r="G281" s="24">
        <f t="shared" si="46"/>
        <v>0</v>
      </c>
      <c r="H281" s="719"/>
      <c r="I281" s="24">
        <f t="shared" si="47"/>
        <v>0.05</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v>
      </c>
      <c r="F282" s="719"/>
      <c r="G282" s="24">
        <f t="shared" ref="G282:G345" si="56">(SUMIF($7:$7,F282,$8:$8)-SUMIF($7:$7,$F$24,$8:$8)+100)/100</f>
        <v>0</v>
      </c>
      <c r="H282" s="719"/>
      <c r="I282" s="24">
        <f t="shared" ref="I282:I345" si="57">(SUMIF($9:$9,H282,$10:$10)-SUMIF($9:$9,$H$24,$10:$10)+100)/100</f>
        <v>0.05</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v>
      </c>
      <c r="F283" s="719"/>
      <c r="G283" s="24">
        <f t="shared" si="56"/>
        <v>0</v>
      </c>
      <c r="H283" s="719"/>
      <c r="I283" s="24">
        <f t="shared" si="57"/>
        <v>0.05</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v>
      </c>
      <c r="F284" s="719"/>
      <c r="G284" s="24">
        <f t="shared" si="56"/>
        <v>0</v>
      </c>
      <c r="H284" s="719"/>
      <c r="I284" s="24">
        <f t="shared" si="57"/>
        <v>0.05</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v>
      </c>
      <c r="F285" s="719"/>
      <c r="G285" s="24">
        <f t="shared" si="56"/>
        <v>0</v>
      </c>
      <c r="H285" s="719"/>
      <c r="I285" s="24">
        <f t="shared" si="57"/>
        <v>0.05</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v>
      </c>
      <c r="F286" s="719"/>
      <c r="G286" s="24">
        <f t="shared" si="56"/>
        <v>0</v>
      </c>
      <c r="H286" s="719"/>
      <c r="I286" s="24">
        <f t="shared" si="57"/>
        <v>0.05</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v>
      </c>
      <c r="F287" s="719"/>
      <c r="G287" s="24">
        <f t="shared" si="56"/>
        <v>0</v>
      </c>
      <c r="H287" s="719"/>
      <c r="I287" s="24">
        <f t="shared" si="57"/>
        <v>0.05</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v>
      </c>
      <c r="F288" s="719"/>
      <c r="G288" s="24">
        <f t="shared" si="56"/>
        <v>0</v>
      </c>
      <c r="H288" s="719"/>
      <c r="I288" s="24">
        <f t="shared" si="57"/>
        <v>0.05</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v>
      </c>
      <c r="F289" s="719"/>
      <c r="G289" s="24">
        <f t="shared" si="56"/>
        <v>0</v>
      </c>
      <c r="H289" s="719"/>
      <c r="I289" s="24">
        <f t="shared" si="57"/>
        <v>0.05</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v>
      </c>
      <c r="F290" s="719"/>
      <c r="G290" s="24">
        <f t="shared" si="56"/>
        <v>0</v>
      </c>
      <c r="H290" s="719"/>
      <c r="I290" s="24">
        <f t="shared" si="57"/>
        <v>0.05</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v>
      </c>
      <c r="F291" s="719"/>
      <c r="G291" s="24">
        <f t="shared" si="56"/>
        <v>0</v>
      </c>
      <c r="H291" s="719"/>
      <c r="I291" s="24">
        <f t="shared" si="57"/>
        <v>0.05</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v>
      </c>
      <c r="F292" s="719"/>
      <c r="G292" s="24">
        <f t="shared" si="56"/>
        <v>0</v>
      </c>
      <c r="H292" s="719"/>
      <c r="I292" s="24">
        <f t="shared" si="57"/>
        <v>0.05</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v>
      </c>
      <c r="F293" s="719"/>
      <c r="G293" s="24">
        <f t="shared" si="56"/>
        <v>0</v>
      </c>
      <c r="H293" s="719"/>
      <c r="I293" s="24">
        <f t="shared" si="57"/>
        <v>0.05</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v>
      </c>
      <c r="F294" s="719"/>
      <c r="G294" s="24">
        <f t="shared" si="56"/>
        <v>0</v>
      </c>
      <c r="H294" s="719"/>
      <c r="I294" s="24">
        <f t="shared" si="57"/>
        <v>0.05</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v>
      </c>
      <c r="F295" s="719"/>
      <c r="G295" s="24">
        <f t="shared" si="56"/>
        <v>0</v>
      </c>
      <c r="H295" s="719"/>
      <c r="I295" s="24">
        <f t="shared" si="57"/>
        <v>0.05</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v>
      </c>
      <c r="F296" s="719"/>
      <c r="G296" s="24">
        <f t="shared" si="56"/>
        <v>0</v>
      </c>
      <c r="H296" s="719"/>
      <c r="I296" s="24">
        <f t="shared" si="57"/>
        <v>0.05</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v>
      </c>
      <c r="F297" s="719"/>
      <c r="G297" s="24">
        <f t="shared" si="56"/>
        <v>0</v>
      </c>
      <c r="H297" s="719"/>
      <c r="I297" s="24">
        <f t="shared" si="57"/>
        <v>0.05</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v>
      </c>
      <c r="F298" s="719"/>
      <c r="G298" s="24">
        <f t="shared" si="56"/>
        <v>0</v>
      </c>
      <c r="H298" s="719"/>
      <c r="I298" s="24">
        <f t="shared" si="57"/>
        <v>0.05</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v>
      </c>
      <c r="F299" s="719"/>
      <c r="G299" s="24">
        <f t="shared" si="56"/>
        <v>0</v>
      </c>
      <c r="H299" s="719"/>
      <c r="I299" s="24">
        <f t="shared" si="57"/>
        <v>0.05</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v>
      </c>
      <c r="F300" s="719"/>
      <c r="G300" s="24">
        <f t="shared" si="56"/>
        <v>0</v>
      </c>
      <c r="H300" s="719"/>
      <c r="I300" s="24">
        <f t="shared" si="57"/>
        <v>0.05</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v>
      </c>
      <c r="F301" s="719"/>
      <c r="G301" s="24">
        <f t="shared" si="56"/>
        <v>0</v>
      </c>
      <c r="H301" s="719"/>
      <c r="I301" s="24">
        <f t="shared" si="57"/>
        <v>0.05</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v>
      </c>
      <c r="F302" s="719"/>
      <c r="G302" s="24">
        <f t="shared" si="56"/>
        <v>0</v>
      </c>
      <c r="H302" s="719"/>
      <c r="I302" s="24">
        <f t="shared" si="57"/>
        <v>0.05</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v>
      </c>
      <c r="F303" s="719"/>
      <c r="G303" s="24">
        <f t="shared" si="56"/>
        <v>0</v>
      </c>
      <c r="H303" s="719"/>
      <c r="I303" s="24">
        <f t="shared" si="57"/>
        <v>0.05</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v>
      </c>
      <c r="F304" s="719"/>
      <c r="G304" s="24">
        <f t="shared" si="56"/>
        <v>0</v>
      </c>
      <c r="H304" s="719"/>
      <c r="I304" s="24">
        <f t="shared" si="57"/>
        <v>0.05</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v>
      </c>
      <c r="F305" s="719"/>
      <c r="G305" s="24">
        <f t="shared" si="56"/>
        <v>0</v>
      </c>
      <c r="H305" s="719"/>
      <c r="I305" s="24">
        <f t="shared" si="57"/>
        <v>0.05</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v>
      </c>
      <c r="F306" s="719"/>
      <c r="G306" s="24">
        <f t="shared" si="56"/>
        <v>0</v>
      </c>
      <c r="H306" s="719"/>
      <c r="I306" s="24">
        <f t="shared" si="57"/>
        <v>0.05</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v>
      </c>
      <c r="F307" s="719"/>
      <c r="G307" s="24">
        <f t="shared" si="56"/>
        <v>0</v>
      </c>
      <c r="H307" s="719"/>
      <c r="I307" s="24">
        <f t="shared" si="57"/>
        <v>0.05</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v>
      </c>
      <c r="F308" s="719"/>
      <c r="G308" s="24">
        <f t="shared" si="56"/>
        <v>0</v>
      </c>
      <c r="H308" s="719"/>
      <c r="I308" s="24">
        <f t="shared" si="57"/>
        <v>0.05</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v>
      </c>
      <c r="F309" s="719"/>
      <c r="G309" s="24">
        <f t="shared" si="56"/>
        <v>0</v>
      </c>
      <c r="H309" s="719"/>
      <c r="I309" s="24">
        <f t="shared" si="57"/>
        <v>0.05</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v>
      </c>
      <c r="F310" s="719"/>
      <c r="G310" s="24">
        <f t="shared" si="56"/>
        <v>0</v>
      </c>
      <c r="H310" s="719"/>
      <c r="I310" s="24">
        <f t="shared" si="57"/>
        <v>0.05</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v>
      </c>
      <c r="F311" s="719"/>
      <c r="G311" s="24">
        <f t="shared" si="56"/>
        <v>0</v>
      </c>
      <c r="H311" s="719"/>
      <c r="I311" s="24">
        <f t="shared" si="57"/>
        <v>0.05</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v>
      </c>
      <c r="F312" s="719"/>
      <c r="G312" s="24">
        <f t="shared" si="56"/>
        <v>0</v>
      </c>
      <c r="H312" s="719"/>
      <c r="I312" s="24">
        <f t="shared" si="57"/>
        <v>0.05</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v>
      </c>
      <c r="F313" s="719"/>
      <c r="G313" s="24">
        <f t="shared" si="56"/>
        <v>0</v>
      </c>
      <c r="H313" s="719"/>
      <c r="I313" s="24">
        <f t="shared" si="57"/>
        <v>0.05</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v>
      </c>
      <c r="F314" s="719"/>
      <c r="G314" s="24">
        <f t="shared" si="56"/>
        <v>0</v>
      </c>
      <c r="H314" s="719"/>
      <c r="I314" s="24">
        <f t="shared" si="57"/>
        <v>0.05</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v>
      </c>
      <c r="F315" s="719"/>
      <c r="G315" s="24">
        <f t="shared" si="56"/>
        <v>0</v>
      </c>
      <c r="H315" s="719"/>
      <c r="I315" s="24">
        <f t="shared" si="57"/>
        <v>0.05</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v>
      </c>
      <c r="F316" s="719"/>
      <c r="G316" s="24">
        <f t="shared" si="56"/>
        <v>0</v>
      </c>
      <c r="H316" s="719"/>
      <c r="I316" s="24">
        <f t="shared" si="57"/>
        <v>0.05</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v>
      </c>
      <c r="F317" s="719"/>
      <c r="G317" s="24">
        <f t="shared" si="56"/>
        <v>0</v>
      </c>
      <c r="H317" s="719"/>
      <c r="I317" s="24">
        <f t="shared" si="57"/>
        <v>0.05</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v>
      </c>
      <c r="F318" s="719"/>
      <c r="G318" s="24">
        <f t="shared" si="56"/>
        <v>0</v>
      </c>
      <c r="H318" s="719"/>
      <c r="I318" s="24">
        <f t="shared" si="57"/>
        <v>0.05</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v>
      </c>
      <c r="F319" s="719"/>
      <c r="G319" s="24">
        <f t="shared" si="56"/>
        <v>0</v>
      </c>
      <c r="H319" s="719"/>
      <c r="I319" s="24">
        <f t="shared" si="57"/>
        <v>0.05</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v>
      </c>
      <c r="F320" s="719"/>
      <c r="G320" s="24">
        <f t="shared" si="56"/>
        <v>0</v>
      </c>
      <c r="H320" s="719"/>
      <c r="I320" s="24">
        <f t="shared" si="57"/>
        <v>0.05</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v>
      </c>
      <c r="F321" s="719"/>
      <c r="G321" s="24">
        <f t="shared" si="56"/>
        <v>0</v>
      </c>
      <c r="H321" s="719"/>
      <c r="I321" s="24">
        <f t="shared" si="57"/>
        <v>0.05</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v>
      </c>
      <c r="F322" s="719"/>
      <c r="G322" s="24">
        <f t="shared" si="56"/>
        <v>0</v>
      </c>
      <c r="H322" s="719"/>
      <c r="I322" s="24">
        <f t="shared" si="57"/>
        <v>0.05</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v>
      </c>
      <c r="F323" s="719"/>
      <c r="G323" s="24">
        <f t="shared" si="56"/>
        <v>0</v>
      </c>
      <c r="H323" s="719"/>
      <c r="I323" s="24">
        <f t="shared" si="57"/>
        <v>0.05</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v>
      </c>
      <c r="F324" s="719"/>
      <c r="G324" s="24">
        <f t="shared" si="56"/>
        <v>0</v>
      </c>
      <c r="H324" s="719"/>
      <c r="I324" s="24">
        <f t="shared" si="57"/>
        <v>0.05</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v>
      </c>
      <c r="F325" s="719"/>
      <c r="G325" s="24">
        <f t="shared" si="56"/>
        <v>0</v>
      </c>
      <c r="H325" s="719"/>
      <c r="I325" s="24">
        <f t="shared" si="57"/>
        <v>0.05</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v>
      </c>
      <c r="F326" s="719"/>
      <c r="G326" s="24">
        <f t="shared" si="56"/>
        <v>0</v>
      </c>
      <c r="H326" s="719"/>
      <c r="I326" s="24">
        <f t="shared" si="57"/>
        <v>0.05</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v>
      </c>
      <c r="F327" s="719"/>
      <c r="G327" s="24">
        <f t="shared" si="56"/>
        <v>0</v>
      </c>
      <c r="H327" s="719"/>
      <c r="I327" s="24">
        <f t="shared" si="57"/>
        <v>0.05</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v>
      </c>
      <c r="F328" s="719"/>
      <c r="G328" s="24">
        <f t="shared" si="56"/>
        <v>0</v>
      </c>
      <c r="H328" s="719"/>
      <c r="I328" s="24">
        <f t="shared" si="57"/>
        <v>0.05</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v>
      </c>
      <c r="F329" s="719"/>
      <c r="G329" s="24">
        <f t="shared" si="56"/>
        <v>0</v>
      </c>
      <c r="H329" s="719"/>
      <c r="I329" s="24">
        <f t="shared" si="57"/>
        <v>0.05</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v>
      </c>
      <c r="F330" s="719"/>
      <c r="G330" s="24">
        <f t="shared" si="56"/>
        <v>0</v>
      </c>
      <c r="H330" s="719"/>
      <c r="I330" s="24">
        <f t="shared" si="57"/>
        <v>0.05</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v>
      </c>
      <c r="F331" s="719"/>
      <c r="G331" s="24">
        <f t="shared" si="56"/>
        <v>0</v>
      </c>
      <c r="H331" s="719"/>
      <c r="I331" s="24">
        <f t="shared" si="57"/>
        <v>0.05</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v>
      </c>
      <c r="F332" s="719"/>
      <c r="G332" s="24">
        <f t="shared" si="56"/>
        <v>0</v>
      </c>
      <c r="H332" s="719"/>
      <c r="I332" s="24">
        <f t="shared" si="57"/>
        <v>0.05</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v>
      </c>
      <c r="F333" s="719"/>
      <c r="G333" s="24">
        <f t="shared" si="56"/>
        <v>0</v>
      </c>
      <c r="H333" s="719"/>
      <c r="I333" s="24">
        <f t="shared" si="57"/>
        <v>0.05</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v>
      </c>
      <c r="F334" s="719"/>
      <c r="G334" s="24">
        <f t="shared" si="56"/>
        <v>0</v>
      </c>
      <c r="H334" s="719"/>
      <c r="I334" s="24">
        <f t="shared" si="57"/>
        <v>0.05</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v>
      </c>
      <c r="F335" s="719"/>
      <c r="G335" s="24">
        <f t="shared" si="56"/>
        <v>0</v>
      </c>
      <c r="H335" s="719"/>
      <c r="I335" s="24">
        <f t="shared" si="57"/>
        <v>0.05</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v>
      </c>
      <c r="F336" s="719"/>
      <c r="G336" s="24">
        <f t="shared" si="56"/>
        <v>0</v>
      </c>
      <c r="H336" s="719"/>
      <c r="I336" s="24">
        <f t="shared" si="57"/>
        <v>0.05</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v>
      </c>
      <c r="F337" s="719"/>
      <c r="G337" s="24">
        <f t="shared" si="56"/>
        <v>0</v>
      </c>
      <c r="H337" s="719"/>
      <c r="I337" s="24">
        <f t="shared" si="57"/>
        <v>0.05</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v>
      </c>
      <c r="F338" s="719"/>
      <c r="G338" s="24">
        <f t="shared" si="56"/>
        <v>0</v>
      </c>
      <c r="H338" s="719"/>
      <c r="I338" s="24">
        <f t="shared" si="57"/>
        <v>0.05</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v>
      </c>
      <c r="F339" s="719"/>
      <c r="G339" s="24">
        <f t="shared" si="56"/>
        <v>0</v>
      </c>
      <c r="H339" s="719"/>
      <c r="I339" s="24">
        <f t="shared" si="57"/>
        <v>0.05</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v>
      </c>
      <c r="F340" s="719"/>
      <c r="G340" s="24">
        <f t="shared" si="56"/>
        <v>0</v>
      </c>
      <c r="H340" s="719"/>
      <c r="I340" s="24">
        <f t="shared" si="57"/>
        <v>0.05</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v>
      </c>
      <c r="F341" s="719"/>
      <c r="G341" s="24">
        <f t="shared" si="56"/>
        <v>0</v>
      </c>
      <c r="H341" s="719"/>
      <c r="I341" s="24">
        <f t="shared" si="57"/>
        <v>0.05</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v>
      </c>
      <c r="F342" s="719"/>
      <c r="G342" s="24">
        <f t="shared" si="56"/>
        <v>0</v>
      </c>
      <c r="H342" s="719"/>
      <c r="I342" s="24">
        <f t="shared" si="57"/>
        <v>0.05</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v>
      </c>
      <c r="F343" s="719"/>
      <c r="G343" s="24">
        <f t="shared" si="56"/>
        <v>0</v>
      </c>
      <c r="H343" s="719"/>
      <c r="I343" s="24">
        <f t="shared" si="57"/>
        <v>0.05</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v>
      </c>
      <c r="F344" s="719"/>
      <c r="G344" s="24">
        <f t="shared" si="56"/>
        <v>0</v>
      </c>
      <c r="H344" s="719"/>
      <c r="I344" s="24">
        <f t="shared" si="57"/>
        <v>0.05</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v>
      </c>
      <c r="F345" s="719"/>
      <c r="G345" s="24">
        <f t="shared" si="56"/>
        <v>0</v>
      </c>
      <c r="H345" s="719"/>
      <c r="I345" s="24">
        <f t="shared" si="57"/>
        <v>0.05</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v>
      </c>
      <c r="F346" s="719"/>
      <c r="G346" s="24">
        <f t="shared" ref="G346:G409" si="67">(SUMIF($7:$7,F346,$8:$8)-SUMIF($7:$7,$F$24,$8:$8)+100)/100</f>
        <v>0</v>
      </c>
      <c r="H346" s="719"/>
      <c r="I346" s="24">
        <f t="shared" ref="I346:I409" si="68">(SUMIF($9:$9,H346,$10:$10)-SUMIF($9:$9,$H$24,$10:$10)+100)/100</f>
        <v>0.05</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v>
      </c>
      <c r="F347" s="719"/>
      <c r="G347" s="24">
        <f t="shared" si="67"/>
        <v>0</v>
      </c>
      <c r="H347" s="719"/>
      <c r="I347" s="24">
        <f t="shared" si="68"/>
        <v>0.05</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v>
      </c>
      <c r="F348" s="719"/>
      <c r="G348" s="24">
        <f t="shared" si="67"/>
        <v>0</v>
      </c>
      <c r="H348" s="719"/>
      <c r="I348" s="24">
        <f t="shared" si="68"/>
        <v>0.05</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v>
      </c>
      <c r="F349" s="719"/>
      <c r="G349" s="24">
        <f t="shared" si="67"/>
        <v>0</v>
      </c>
      <c r="H349" s="719"/>
      <c r="I349" s="24">
        <f t="shared" si="68"/>
        <v>0.05</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v>
      </c>
      <c r="F350" s="719"/>
      <c r="G350" s="24">
        <f t="shared" si="67"/>
        <v>0</v>
      </c>
      <c r="H350" s="719"/>
      <c r="I350" s="24">
        <f t="shared" si="68"/>
        <v>0.05</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v>
      </c>
      <c r="F351" s="719"/>
      <c r="G351" s="24">
        <f t="shared" si="67"/>
        <v>0</v>
      </c>
      <c r="H351" s="719"/>
      <c r="I351" s="24">
        <f t="shared" si="68"/>
        <v>0.05</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v>
      </c>
      <c r="F352" s="719"/>
      <c r="G352" s="24">
        <f t="shared" si="67"/>
        <v>0</v>
      </c>
      <c r="H352" s="719"/>
      <c r="I352" s="24">
        <f t="shared" si="68"/>
        <v>0.05</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v>
      </c>
      <c r="F353" s="719"/>
      <c r="G353" s="24">
        <f t="shared" si="67"/>
        <v>0</v>
      </c>
      <c r="H353" s="719"/>
      <c r="I353" s="24">
        <f t="shared" si="68"/>
        <v>0.05</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v>
      </c>
      <c r="F354" s="719"/>
      <c r="G354" s="24">
        <f t="shared" si="67"/>
        <v>0</v>
      </c>
      <c r="H354" s="719"/>
      <c r="I354" s="24">
        <f t="shared" si="68"/>
        <v>0.05</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v>
      </c>
      <c r="F355" s="719"/>
      <c r="G355" s="24">
        <f t="shared" si="67"/>
        <v>0</v>
      </c>
      <c r="H355" s="719"/>
      <c r="I355" s="24">
        <f t="shared" si="68"/>
        <v>0.05</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v>
      </c>
      <c r="F356" s="719"/>
      <c r="G356" s="24">
        <f t="shared" si="67"/>
        <v>0</v>
      </c>
      <c r="H356" s="719"/>
      <c r="I356" s="24">
        <f t="shared" si="68"/>
        <v>0.05</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v>
      </c>
      <c r="F357" s="719"/>
      <c r="G357" s="24">
        <f t="shared" si="67"/>
        <v>0</v>
      </c>
      <c r="H357" s="719"/>
      <c r="I357" s="24">
        <f t="shared" si="68"/>
        <v>0.05</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v>
      </c>
      <c r="F358" s="719"/>
      <c r="G358" s="24">
        <f t="shared" si="67"/>
        <v>0</v>
      </c>
      <c r="H358" s="719"/>
      <c r="I358" s="24">
        <f t="shared" si="68"/>
        <v>0.05</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v>
      </c>
      <c r="F359" s="719"/>
      <c r="G359" s="24">
        <f t="shared" si="67"/>
        <v>0</v>
      </c>
      <c r="H359" s="719"/>
      <c r="I359" s="24">
        <f t="shared" si="68"/>
        <v>0.05</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v>
      </c>
      <c r="F360" s="719"/>
      <c r="G360" s="24">
        <f t="shared" si="67"/>
        <v>0</v>
      </c>
      <c r="H360" s="719"/>
      <c r="I360" s="24">
        <f t="shared" si="68"/>
        <v>0.05</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v>
      </c>
      <c r="F361" s="719"/>
      <c r="G361" s="24">
        <f t="shared" si="67"/>
        <v>0</v>
      </c>
      <c r="H361" s="719"/>
      <c r="I361" s="24">
        <f t="shared" si="68"/>
        <v>0.05</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v>
      </c>
      <c r="F362" s="719"/>
      <c r="G362" s="24">
        <f t="shared" si="67"/>
        <v>0</v>
      </c>
      <c r="H362" s="719"/>
      <c r="I362" s="24">
        <f t="shared" si="68"/>
        <v>0.05</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v>
      </c>
      <c r="F363" s="719"/>
      <c r="G363" s="24">
        <f t="shared" si="67"/>
        <v>0</v>
      </c>
      <c r="H363" s="719"/>
      <c r="I363" s="24">
        <f t="shared" si="68"/>
        <v>0.05</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v>
      </c>
      <c r="F364" s="719"/>
      <c r="G364" s="24">
        <f t="shared" si="67"/>
        <v>0</v>
      </c>
      <c r="H364" s="719"/>
      <c r="I364" s="24">
        <f t="shared" si="68"/>
        <v>0.05</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v>
      </c>
      <c r="F365" s="719"/>
      <c r="G365" s="24">
        <f t="shared" si="67"/>
        <v>0</v>
      </c>
      <c r="H365" s="719"/>
      <c r="I365" s="24">
        <f t="shared" si="68"/>
        <v>0.05</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v>
      </c>
      <c r="F366" s="719"/>
      <c r="G366" s="24">
        <f t="shared" si="67"/>
        <v>0</v>
      </c>
      <c r="H366" s="719"/>
      <c r="I366" s="24">
        <f t="shared" si="68"/>
        <v>0.05</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v>
      </c>
      <c r="F367" s="719"/>
      <c r="G367" s="24">
        <f t="shared" si="67"/>
        <v>0</v>
      </c>
      <c r="H367" s="719"/>
      <c r="I367" s="24">
        <f t="shared" si="68"/>
        <v>0.05</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v>
      </c>
      <c r="F368" s="719"/>
      <c r="G368" s="24">
        <f t="shared" si="67"/>
        <v>0</v>
      </c>
      <c r="H368" s="719"/>
      <c r="I368" s="24">
        <f t="shared" si="68"/>
        <v>0.05</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v>
      </c>
      <c r="F369" s="719"/>
      <c r="G369" s="24">
        <f t="shared" si="67"/>
        <v>0</v>
      </c>
      <c r="H369" s="719"/>
      <c r="I369" s="24">
        <f t="shared" si="68"/>
        <v>0.05</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v>
      </c>
      <c r="F370" s="719"/>
      <c r="G370" s="24">
        <f t="shared" si="67"/>
        <v>0</v>
      </c>
      <c r="H370" s="719"/>
      <c r="I370" s="24">
        <f t="shared" si="68"/>
        <v>0.05</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v>
      </c>
      <c r="F371" s="719"/>
      <c r="G371" s="24">
        <f t="shared" si="67"/>
        <v>0</v>
      </c>
      <c r="H371" s="719"/>
      <c r="I371" s="24">
        <f t="shared" si="68"/>
        <v>0.05</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v>
      </c>
      <c r="F372" s="719"/>
      <c r="G372" s="24">
        <f t="shared" si="67"/>
        <v>0</v>
      </c>
      <c r="H372" s="719"/>
      <c r="I372" s="24">
        <f t="shared" si="68"/>
        <v>0.05</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v>
      </c>
      <c r="F373" s="719"/>
      <c r="G373" s="24">
        <f t="shared" si="67"/>
        <v>0</v>
      </c>
      <c r="H373" s="719"/>
      <c r="I373" s="24">
        <f t="shared" si="68"/>
        <v>0.05</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v>
      </c>
      <c r="F374" s="719"/>
      <c r="G374" s="24">
        <f t="shared" si="67"/>
        <v>0</v>
      </c>
      <c r="H374" s="719"/>
      <c r="I374" s="24">
        <f t="shared" si="68"/>
        <v>0.05</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v>
      </c>
      <c r="F375" s="719"/>
      <c r="G375" s="24">
        <f t="shared" si="67"/>
        <v>0</v>
      </c>
      <c r="H375" s="719"/>
      <c r="I375" s="24">
        <f t="shared" si="68"/>
        <v>0.05</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v>
      </c>
      <c r="F376" s="719"/>
      <c r="G376" s="24">
        <f t="shared" si="67"/>
        <v>0</v>
      </c>
      <c r="H376" s="719"/>
      <c r="I376" s="24">
        <f t="shared" si="68"/>
        <v>0.05</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v>
      </c>
      <c r="F377" s="719"/>
      <c r="G377" s="24">
        <f t="shared" si="67"/>
        <v>0</v>
      </c>
      <c r="H377" s="719"/>
      <c r="I377" s="24">
        <f t="shared" si="68"/>
        <v>0.05</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v>
      </c>
      <c r="F378" s="719"/>
      <c r="G378" s="24">
        <f t="shared" si="67"/>
        <v>0</v>
      </c>
      <c r="H378" s="719"/>
      <c r="I378" s="24">
        <f t="shared" si="68"/>
        <v>0.05</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v>
      </c>
      <c r="F379" s="719"/>
      <c r="G379" s="24">
        <f t="shared" si="67"/>
        <v>0</v>
      </c>
      <c r="H379" s="719"/>
      <c r="I379" s="24">
        <f t="shared" si="68"/>
        <v>0.05</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v>
      </c>
      <c r="F380" s="719"/>
      <c r="G380" s="24">
        <f t="shared" si="67"/>
        <v>0</v>
      </c>
      <c r="H380" s="719"/>
      <c r="I380" s="24">
        <f t="shared" si="68"/>
        <v>0.05</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v>
      </c>
      <c r="F381" s="719"/>
      <c r="G381" s="24">
        <f t="shared" si="67"/>
        <v>0</v>
      </c>
      <c r="H381" s="719"/>
      <c r="I381" s="24">
        <f t="shared" si="68"/>
        <v>0.05</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v>
      </c>
      <c r="F382" s="719"/>
      <c r="G382" s="24">
        <f t="shared" si="67"/>
        <v>0</v>
      </c>
      <c r="H382" s="719"/>
      <c r="I382" s="24">
        <f t="shared" si="68"/>
        <v>0.05</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v>
      </c>
      <c r="F383" s="719"/>
      <c r="G383" s="24">
        <f t="shared" si="67"/>
        <v>0</v>
      </c>
      <c r="H383" s="719"/>
      <c r="I383" s="24">
        <f t="shared" si="68"/>
        <v>0.05</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v>
      </c>
      <c r="F384" s="719"/>
      <c r="G384" s="24">
        <f t="shared" si="67"/>
        <v>0</v>
      </c>
      <c r="H384" s="719"/>
      <c r="I384" s="24">
        <f t="shared" si="68"/>
        <v>0.05</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v>
      </c>
      <c r="F385" s="719"/>
      <c r="G385" s="24">
        <f t="shared" si="67"/>
        <v>0</v>
      </c>
      <c r="H385" s="719"/>
      <c r="I385" s="24">
        <f t="shared" si="68"/>
        <v>0.05</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v>
      </c>
      <c r="F386" s="719"/>
      <c r="G386" s="24">
        <f t="shared" si="67"/>
        <v>0</v>
      </c>
      <c r="H386" s="719"/>
      <c r="I386" s="24">
        <f t="shared" si="68"/>
        <v>0.05</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v>
      </c>
      <c r="F387" s="719"/>
      <c r="G387" s="24">
        <f t="shared" si="67"/>
        <v>0</v>
      </c>
      <c r="H387" s="719"/>
      <c r="I387" s="24">
        <f t="shared" si="68"/>
        <v>0.05</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v>
      </c>
      <c r="F388" s="719"/>
      <c r="G388" s="24">
        <f t="shared" si="67"/>
        <v>0</v>
      </c>
      <c r="H388" s="719"/>
      <c r="I388" s="24">
        <f t="shared" si="68"/>
        <v>0.05</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v>
      </c>
      <c r="F389" s="719"/>
      <c r="G389" s="24">
        <f t="shared" si="67"/>
        <v>0</v>
      </c>
      <c r="H389" s="719"/>
      <c r="I389" s="24">
        <f t="shared" si="68"/>
        <v>0.05</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v>
      </c>
      <c r="F390" s="719"/>
      <c r="G390" s="24">
        <f t="shared" si="67"/>
        <v>0</v>
      </c>
      <c r="H390" s="719"/>
      <c r="I390" s="24">
        <f t="shared" si="68"/>
        <v>0.05</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v>
      </c>
      <c r="F391" s="719"/>
      <c r="G391" s="24">
        <f t="shared" si="67"/>
        <v>0</v>
      </c>
      <c r="H391" s="719"/>
      <c r="I391" s="24">
        <f t="shared" si="68"/>
        <v>0.05</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v>
      </c>
      <c r="F392" s="719"/>
      <c r="G392" s="24">
        <f t="shared" si="67"/>
        <v>0</v>
      </c>
      <c r="H392" s="719"/>
      <c r="I392" s="24">
        <f t="shared" si="68"/>
        <v>0.05</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v>
      </c>
      <c r="F393" s="719"/>
      <c r="G393" s="24">
        <f t="shared" si="67"/>
        <v>0</v>
      </c>
      <c r="H393" s="719"/>
      <c r="I393" s="24">
        <f t="shared" si="68"/>
        <v>0.05</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v>
      </c>
      <c r="F394" s="719"/>
      <c r="G394" s="24">
        <f t="shared" si="67"/>
        <v>0</v>
      </c>
      <c r="H394" s="719"/>
      <c r="I394" s="24">
        <f t="shared" si="68"/>
        <v>0.05</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v>
      </c>
      <c r="F395" s="719"/>
      <c r="G395" s="24">
        <f t="shared" si="67"/>
        <v>0</v>
      </c>
      <c r="H395" s="719"/>
      <c r="I395" s="24">
        <f t="shared" si="68"/>
        <v>0.05</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v>
      </c>
      <c r="F396" s="719"/>
      <c r="G396" s="24">
        <f t="shared" si="67"/>
        <v>0</v>
      </c>
      <c r="H396" s="719"/>
      <c r="I396" s="24">
        <f t="shared" si="68"/>
        <v>0.05</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v>
      </c>
      <c r="F397" s="719"/>
      <c r="G397" s="24">
        <f t="shared" si="67"/>
        <v>0</v>
      </c>
      <c r="H397" s="719"/>
      <c r="I397" s="24">
        <f t="shared" si="68"/>
        <v>0.05</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v>
      </c>
      <c r="F398" s="719"/>
      <c r="G398" s="24">
        <f t="shared" si="67"/>
        <v>0</v>
      </c>
      <c r="H398" s="719"/>
      <c r="I398" s="24">
        <f t="shared" si="68"/>
        <v>0.05</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v>
      </c>
      <c r="F399" s="719"/>
      <c r="G399" s="24">
        <f t="shared" si="67"/>
        <v>0</v>
      </c>
      <c r="H399" s="719"/>
      <c r="I399" s="24">
        <f t="shared" si="68"/>
        <v>0.05</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v>
      </c>
      <c r="F400" s="719"/>
      <c r="G400" s="24">
        <f t="shared" si="67"/>
        <v>0</v>
      </c>
      <c r="H400" s="719"/>
      <c r="I400" s="24">
        <f t="shared" si="68"/>
        <v>0.05</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v>
      </c>
      <c r="F401" s="719"/>
      <c r="G401" s="24">
        <f t="shared" si="67"/>
        <v>0</v>
      </c>
      <c r="H401" s="719"/>
      <c r="I401" s="24">
        <f t="shared" si="68"/>
        <v>0.05</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v>
      </c>
      <c r="F402" s="719"/>
      <c r="G402" s="24">
        <f t="shared" si="67"/>
        <v>0</v>
      </c>
      <c r="H402" s="719"/>
      <c r="I402" s="24">
        <f t="shared" si="68"/>
        <v>0.05</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v>
      </c>
      <c r="F403" s="719"/>
      <c r="G403" s="24">
        <f t="shared" si="67"/>
        <v>0</v>
      </c>
      <c r="H403" s="719"/>
      <c r="I403" s="24">
        <f t="shared" si="68"/>
        <v>0.05</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v>
      </c>
      <c r="F404" s="719"/>
      <c r="G404" s="24">
        <f t="shared" si="67"/>
        <v>0</v>
      </c>
      <c r="H404" s="719"/>
      <c r="I404" s="24">
        <f t="shared" si="68"/>
        <v>0.05</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v>
      </c>
      <c r="F405" s="719"/>
      <c r="G405" s="24">
        <f t="shared" si="67"/>
        <v>0</v>
      </c>
      <c r="H405" s="719"/>
      <c r="I405" s="24">
        <f t="shared" si="68"/>
        <v>0.05</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v>
      </c>
      <c r="F406" s="719"/>
      <c r="G406" s="24">
        <f t="shared" si="67"/>
        <v>0</v>
      </c>
      <c r="H406" s="719"/>
      <c r="I406" s="24">
        <f t="shared" si="68"/>
        <v>0.05</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v>
      </c>
      <c r="F407" s="719"/>
      <c r="G407" s="24">
        <f t="shared" si="67"/>
        <v>0</v>
      </c>
      <c r="H407" s="719"/>
      <c r="I407" s="24">
        <f t="shared" si="68"/>
        <v>0.05</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v>
      </c>
      <c r="F408" s="719"/>
      <c r="G408" s="24">
        <f t="shared" si="67"/>
        <v>0</v>
      </c>
      <c r="H408" s="719"/>
      <c r="I408" s="24">
        <f t="shared" si="68"/>
        <v>0.05</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v>
      </c>
      <c r="F409" s="719"/>
      <c r="G409" s="24">
        <f t="shared" si="67"/>
        <v>0</v>
      </c>
      <c r="H409" s="719"/>
      <c r="I409" s="24">
        <f t="shared" si="68"/>
        <v>0.05</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v>
      </c>
      <c r="F410" s="719"/>
      <c r="G410" s="24">
        <f t="shared" ref="G410:G473" si="77">(SUMIF($7:$7,F410,$8:$8)-SUMIF($7:$7,$F$24,$8:$8)+100)/100</f>
        <v>0</v>
      </c>
      <c r="H410" s="719"/>
      <c r="I410" s="24">
        <f t="shared" ref="I410:I473" si="78">(SUMIF($9:$9,H410,$10:$10)-SUMIF($9:$9,$H$24,$10:$10)+100)/100</f>
        <v>0.05</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v>
      </c>
      <c r="F411" s="719"/>
      <c r="G411" s="24">
        <f t="shared" si="77"/>
        <v>0</v>
      </c>
      <c r="H411" s="719"/>
      <c r="I411" s="24">
        <f t="shared" si="78"/>
        <v>0.05</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v>
      </c>
      <c r="F412" s="719"/>
      <c r="G412" s="24">
        <f t="shared" si="77"/>
        <v>0</v>
      </c>
      <c r="H412" s="719"/>
      <c r="I412" s="24">
        <f t="shared" si="78"/>
        <v>0.05</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v>
      </c>
      <c r="F413" s="719"/>
      <c r="G413" s="24">
        <f t="shared" si="77"/>
        <v>0</v>
      </c>
      <c r="H413" s="719"/>
      <c r="I413" s="24">
        <f t="shared" si="78"/>
        <v>0.05</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v>
      </c>
      <c r="F414" s="719"/>
      <c r="G414" s="24">
        <f t="shared" si="77"/>
        <v>0</v>
      </c>
      <c r="H414" s="719"/>
      <c r="I414" s="24">
        <f t="shared" si="78"/>
        <v>0.05</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v>
      </c>
      <c r="F415" s="719"/>
      <c r="G415" s="24">
        <f t="shared" si="77"/>
        <v>0</v>
      </c>
      <c r="H415" s="719"/>
      <c r="I415" s="24">
        <f t="shared" si="78"/>
        <v>0.05</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v>
      </c>
      <c r="F416" s="719"/>
      <c r="G416" s="24">
        <f t="shared" si="77"/>
        <v>0</v>
      </c>
      <c r="H416" s="719"/>
      <c r="I416" s="24">
        <f t="shared" si="78"/>
        <v>0.05</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v>
      </c>
      <c r="F417" s="719"/>
      <c r="G417" s="24">
        <f t="shared" si="77"/>
        <v>0</v>
      </c>
      <c r="H417" s="719"/>
      <c r="I417" s="24">
        <f t="shared" si="78"/>
        <v>0.05</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v>
      </c>
      <c r="F418" s="719"/>
      <c r="G418" s="24">
        <f t="shared" si="77"/>
        <v>0</v>
      </c>
      <c r="H418" s="719"/>
      <c r="I418" s="24">
        <f t="shared" si="78"/>
        <v>0.05</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v>
      </c>
      <c r="F419" s="719"/>
      <c r="G419" s="24">
        <f t="shared" si="77"/>
        <v>0</v>
      </c>
      <c r="H419" s="719"/>
      <c r="I419" s="24">
        <f t="shared" si="78"/>
        <v>0.05</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v>
      </c>
      <c r="F420" s="719"/>
      <c r="G420" s="24">
        <f t="shared" si="77"/>
        <v>0</v>
      </c>
      <c r="H420" s="719"/>
      <c r="I420" s="24">
        <f t="shared" si="78"/>
        <v>0.05</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v>
      </c>
      <c r="F421" s="719"/>
      <c r="G421" s="24">
        <f t="shared" si="77"/>
        <v>0</v>
      </c>
      <c r="H421" s="719"/>
      <c r="I421" s="24">
        <f t="shared" si="78"/>
        <v>0.05</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v>
      </c>
      <c r="F422" s="719"/>
      <c r="G422" s="24">
        <f t="shared" si="77"/>
        <v>0</v>
      </c>
      <c r="H422" s="719"/>
      <c r="I422" s="24">
        <f t="shared" si="78"/>
        <v>0.05</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v>
      </c>
      <c r="F423" s="719"/>
      <c r="G423" s="24">
        <f t="shared" si="77"/>
        <v>0</v>
      </c>
      <c r="H423" s="719"/>
      <c r="I423" s="24">
        <f t="shared" si="78"/>
        <v>0.05</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v>
      </c>
      <c r="F424" s="719"/>
      <c r="G424" s="24">
        <f t="shared" si="77"/>
        <v>0</v>
      </c>
      <c r="H424" s="719"/>
      <c r="I424" s="24">
        <f t="shared" si="78"/>
        <v>0.05</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v>
      </c>
      <c r="F425" s="719"/>
      <c r="G425" s="24">
        <f t="shared" si="77"/>
        <v>0</v>
      </c>
      <c r="H425" s="719"/>
      <c r="I425" s="24">
        <f t="shared" si="78"/>
        <v>0.05</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v>
      </c>
      <c r="F426" s="719"/>
      <c r="G426" s="24">
        <f t="shared" si="77"/>
        <v>0</v>
      </c>
      <c r="H426" s="719"/>
      <c r="I426" s="24">
        <f t="shared" si="78"/>
        <v>0.05</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v>
      </c>
      <c r="F427" s="719"/>
      <c r="G427" s="24">
        <f t="shared" si="77"/>
        <v>0</v>
      </c>
      <c r="H427" s="719"/>
      <c r="I427" s="24">
        <f t="shared" si="78"/>
        <v>0.05</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v>
      </c>
      <c r="F428" s="719"/>
      <c r="G428" s="24">
        <f t="shared" si="77"/>
        <v>0</v>
      </c>
      <c r="H428" s="719"/>
      <c r="I428" s="24">
        <f t="shared" si="78"/>
        <v>0.05</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v>
      </c>
      <c r="F429" s="719"/>
      <c r="G429" s="24">
        <f t="shared" si="77"/>
        <v>0</v>
      </c>
      <c r="H429" s="719"/>
      <c r="I429" s="24">
        <f t="shared" si="78"/>
        <v>0.05</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v>
      </c>
      <c r="F430" s="719"/>
      <c r="G430" s="24">
        <f t="shared" si="77"/>
        <v>0</v>
      </c>
      <c r="H430" s="719"/>
      <c r="I430" s="24">
        <f t="shared" si="78"/>
        <v>0.05</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v>
      </c>
      <c r="F431" s="719"/>
      <c r="G431" s="24">
        <f t="shared" si="77"/>
        <v>0</v>
      </c>
      <c r="H431" s="719"/>
      <c r="I431" s="24">
        <f t="shared" si="78"/>
        <v>0.05</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v>
      </c>
      <c r="F432" s="719"/>
      <c r="G432" s="24">
        <f t="shared" si="77"/>
        <v>0</v>
      </c>
      <c r="H432" s="719"/>
      <c r="I432" s="24">
        <f t="shared" si="78"/>
        <v>0.05</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v>
      </c>
      <c r="F433" s="719"/>
      <c r="G433" s="24">
        <f t="shared" si="77"/>
        <v>0</v>
      </c>
      <c r="H433" s="719"/>
      <c r="I433" s="24">
        <f t="shared" si="78"/>
        <v>0.05</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v>
      </c>
      <c r="F434" s="719"/>
      <c r="G434" s="24">
        <f t="shared" si="77"/>
        <v>0</v>
      </c>
      <c r="H434" s="719"/>
      <c r="I434" s="24">
        <f t="shared" si="78"/>
        <v>0.05</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v>
      </c>
      <c r="F435" s="719"/>
      <c r="G435" s="24">
        <f t="shared" si="77"/>
        <v>0</v>
      </c>
      <c r="H435" s="719"/>
      <c r="I435" s="24">
        <f t="shared" si="78"/>
        <v>0.05</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v>
      </c>
      <c r="F436" s="719"/>
      <c r="G436" s="24">
        <f t="shared" si="77"/>
        <v>0</v>
      </c>
      <c r="H436" s="719"/>
      <c r="I436" s="24">
        <f t="shared" si="78"/>
        <v>0.05</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v>
      </c>
      <c r="F437" s="719"/>
      <c r="G437" s="24">
        <f t="shared" si="77"/>
        <v>0</v>
      </c>
      <c r="H437" s="719"/>
      <c r="I437" s="24">
        <f t="shared" si="78"/>
        <v>0.05</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v>
      </c>
      <c r="F438" s="719"/>
      <c r="G438" s="24">
        <f t="shared" si="77"/>
        <v>0</v>
      </c>
      <c r="H438" s="719"/>
      <c r="I438" s="24">
        <f t="shared" si="78"/>
        <v>0.05</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v>
      </c>
      <c r="F439" s="719"/>
      <c r="G439" s="24">
        <f t="shared" si="77"/>
        <v>0</v>
      </c>
      <c r="H439" s="719"/>
      <c r="I439" s="24">
        <f t="shared" si="78"/>
        <v>0.05</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v>
      </c>
      <c r="F440" s="719"/>
      <c r="G440" s="24">
        <f t="shared" si="77"/>
        <v>0</v>
      </c>
      <c r="H440" s="719"/>
      <c r="I440" s="24">
        <f t="shared" si="78"/>
        <v>0.05</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v>
      </c>
      <c r="F441" s="719"/>
      <c r="G441" s="24">
        <f t="shared" si="77"/>
        <v>0</v>
      </c>
      <c r="H441" s="719"/>
      <c r="I441" s="24">
        <f t="shared" si="78"/>
        <v>0.05</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v>
      </c>
      <c r="F442" s="719"/>
      <c r="G442" s="24">
        <f t="shared" si="77"/>
        <v>0</v>
      </c>
      <c r="H442" s="719"/>
      <c r="I442" s="24">
        <f t="shared" si="78"/>
        <v>0.05</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v>
      </c>
      <c r="F443" s="719"/>
      <c r="G443" s="24">
        <f t="shared" si="77"/>
        <v>0</v>
      </c>
      <c r="H443" s="719"/>
      <c r="I443" s="24">
        <f t="shared" si="78"/>
        <v>0.05</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v>
      </c>
      <c r="F444" s="719"/>
      <c r="G444" s="24">
        <f t="shared" si="77"/>
        <v>0</v>
      </c>
      <c r="H444" s="719"/>
      <c r="I444" s="24">
        <f t="shared" si="78"/>
        <v>0.05</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v>
      </c>
      <c r="F445" s="719"/>
      <c r="G445" s="24">
        <f t="shared" si="77"/>
        <v>0</v>
      </c>
      <c r="H445" s="719"/>
      <c r="I445" s="24">
        <f t="shared" si="78"/>
        <v>0.05</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v>
      </c>
      <c r="F446" s="719"/>
      <c r="G446" s="24">
        <f t="shared" si="77"/>
        <v>0</v>
      </c>
      <c r="H446" s="719"/>
      <c r="I446" s="24">
        <f t="shared" si="78"/>
        <v>0.05</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v>
      </c>
      <c r="F447" s="719"/>
      <c r="G447" s="24">
        <f t="shared" si="77"/>
        <v>0</v>
      </c>
      <c r="H447" s="719"/>
      <c r="I447" s="24">
        <f t="shared" si="78"/>
        <v>0.05</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v>
      </c>
      <c r="F448" s="719"/>
      <c r="G448" s="24">
        <f t="shared" si="77"/>
        <v>0</v>
      </c>
      <c r="H448" s="719"/>
      <c r="I448" s="24">
        <f t="shared" si="78"/>
        <v>0.05</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v>
      </c>
      <c r="F449" s="719"/>
      <c r="G449" s="24">
        <f t="shared" si="77"/>
        <v>0</v>
      </c>
      <c r="H449" s="719"/>
      <c r="I449" s="24">
        <f t="shared" si="78"/>
        <v>0.05</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v>
      </c>
      <c r="F450" s="719"/>
      <c r="G450" s="24">
        <f t="shared" si="77"/>
        <v>0</v>
      </c>
      <c r="H450" s="719"/>
      <c r="I450" s="24">
        <f t="shared" si="78"/>
        <v>0.05</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v>
      </c>
      <c r="F451" s="719"/>
      <c r="G451" s="24">
        <f t="shared" si="77"/>
        <v>0</v>
      </c>
      <c r="H451" s="719"/>
      <c r="I451" s="24">
        <f t="shared" si="78"/>
        <v>0.05</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v>
      </c>
      <c r="F452" s="719"/>
      <c r="G452" s="24">
        <f t="shared" si="77"/>
        <v>0</v>
      </c>
      <c r="H452" s="719"/>
      <c r="I452" s="24">
        <f t="shared" si="78"/>
        <v>0.05</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v>
      </c>
      <c r="F453" s="719"/>
      <c r="G453" s="24">
        <f t="shared" si="77"/>
        <v>0</v>
      </c>
      <c r="H453" s="719"/>
      <c r="I453" s="24">
        <f t="shared" si="78"/>
        <v>0.05</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v>
      </c>
      <c r="F454" s="719"/>
      <c r="G454" s="24">
        <f t="shared" si="77"/>
        <v>0</v>
      </c>
      <c r="H454" s="719"/>
      <c r="I454" s="24">
        <f t="shared" si="78"/>
        <v>0.05</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v>
      </c>
      <c r="F455" s="719"/>
      <c r="G455" s="24">
        <f t="shared" si="77"/>
        <v>0</v>
      </c>
      <c r="H455" s="719"/>
      <c r="I455" s="24">
        <f t="shared" si="78"/>
        <v>0.05</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v>
      </c>
      <c r="F456" s="719"/>
      <c r="G456" s="24">
        <f t="shared" si="77"/>
        <v>0</v>
      </c>
      <c r="H456" s="719"/>
      <c r="I456" s="24">
        <f t="shared" si="78"/>
        <v>0.05</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v>
      </c>
      <c r="F457" s="719"/>
      <c r="G457" s="24">
        <f t="shared" si="77"/>
        <v>0</v>
      </c>
      <c r="H457" s="719"/>
      <c r="I457" s="24">
        <f t="shared" si="78"/>
        <v>0.05</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v>
      </c>
      <c r="F458" s="719"/>
      <c r="G458" s="24">
        <f t="shared" si="77"/>
        <v>0</v>
      </c>
      <c r="H458" s="719"/>
      <c r="I458" s="24">
        <f t="shared" si="78"/>
        <v>0.05</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v>
      </c>
      <c r="F459" s="719"/>
      <c r="G459" s="24">
        <f t="shared" si="77"/>
        <v>0</v>
      </c>
      <c r="H459" s="719"/>
      <c r="I459" s="24">
        <f t="shared" si="78"/>
        <v>0.05</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v>
      </c>
      <c r="F460" s="719"/>
      <c r="G460" s="24">
        <f t="shared" si="77"/>
        <v>0</v>
      </c>
      <c r="H460" s="719"/>
      <c r="I460" s="24">
        <f t="shared" si="78"/>
        <v>0.05</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v>
      </c>
      <c r="F461" s="719"/>
      <c r="G461" s="24">
        <f t="shared" si="77"/>
        <v>0</v>
      </c>
      <c r="H461" s="719"/>
      <c r="I461" s="24">
        <f t="shared" si="78"/>
        <v>0.05</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v>
      </c>
      <c r="F462" s="719"/>
      <c r="G462" s="24">
        <f t="shared" si="77"/>
        <v>0</v>
      </c>
      <c r="H462" s="719"/>
      <c r="I462" s="24">
        <f t="shared" si="78"/>
        <v>0.05</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v>
      </c>
      <c r="F463" s="719"/>
      <c r="G463" s="24">
        <f t="shared" si="77"/>
        <v>0</v>
      </c>
      <c r="H463" s="719"/>
      <c r="I463" s="24">
        <f t="shared" si="78"/>
        <v>0.05</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v>
      </c>
      <c r="F464" s="719"/>
      <c r="G464" s="24">
        <f t="shared" si="77"/>
        <v>0</v>
      </c>
      <c r="H464" s="719"/>
      <c r="I464" s="24">
        <f t="shared" si="78"/>
        <v>0.05</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v>
      </c>
      <c r="F465" s="719"/>
      <c r="G465" s="24">
        <f t="shared" si="77"/>
        <v>0</v>
      </c>
      <c r="H465" s="719"/>
      <c r="I465" s="24">
        <f t="shared" si="78"/>
        <v>0.05</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v>
      </c>
      <c r="F466" s="719"/>
      <c r="G466" s="24">
        <f t="shared" si="77"/>
        <v>0</v>
      </c>
      <c r="H466" s="719"/>
      <c r="I466" s="24">
        <f t="shared" si="78"/>
        <v>0.05</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v>
      </c>
      <c r="F467" s="719"/>
      <c r="G467" s="24">
        <f t="shared" si="77"/>
        <v>0</v>
      </c>
      <c r="H467" s="719"/>
      <c r="I467" s="24">
        <f t="shared" si="78"/>
        <v>0.05</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v>
      </c>
      <c r="F468" s="719"/>
      <c r="G468" s="24">
        <f t="shared" si="77"/>
        <v>0</v>
      </c>
      <c r="H468" s="719"/>
      <c r="I468" s="24">
        <f t="shared" si="78"/>
        <v>0.05</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v>
      </c>
      <c r="F469" s="719"/>
      <c r="G469" s="24">
        <f t="shared" si="77"/>
        <v>0</v>
      </c>
      <c r="H469" s="719"/>
      <c r="I469" s="24">
        <f t="shared" si="78"/>
        <v>0.05</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v>
      </c>
      <c r="F470" s="719"/>
      <c r="G470" s="24">
        <f t="shared" si="77"/>
        <v>0</v>
      </c>
      <c r="H470" s="719"/>
      <c r="I470" s="24">
        <f t="shared" si="78"/>
        <v>0.05</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v>
      </c>
      <c r="F471" s="719"/>
      <c r="G471" s="24">
        <f t="shared" si="77"/>
        <v>0</v>
      </c>
      <c r="H471" s="719"/>
      <c r="I471" s="24">
        <f t="shared" si="78"/>
        <v>0.05</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v>
      </c>
      <c r="F472" s="719"/>
      <c r="G472" s="24">
        <f t="shared" si="77"/>
        <v>0</v>
      </c>
      <c r="H472" s="719"/>
      <c r="I472" s="24">
        <f t="shared" si="78"/>
        <v>0.05</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v>
      </c>
      <c r="F473" s="719"/>
      <c r="G473" s="24">
        <f t="shared" si="77"/>
        <v>0</v>
      </c>
      <c r="H473" s="719"/>
      <c r="I473" s="24">
        <f t="shared" si="78"/>
        <v>0.05</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v>
      </c>
      <c r="F474" s="719"/>
      <c r="G474" s="24">
        <f t="shared" ref="G474:G524" si="88">(SUMIF($7:$7,F474,$8:$8)-SUMIF($7:$7,$F$24,$8:$8)+100)/100</f>
        <v>0</v>
      </c>
      <c r="H474" s="719"/>
      <c r="I474" s="24">
        <f t="shared" ref="I474:I524" si="89">(SUMIF($9:$9,H474,$10:$10)-SUMIF($9:$9,$H$24,$10:$10)+100)/100</f>
        <v>0.05</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v>
      </c>
      <c r="F475" s="719"/>
      <c r="G475" s="24">
        <f t="shared" si="88"/>
        <v>0</v>
      </c>
      <c r="H475" s="719"/>
      <c r="I475" s="24">
        <f t="shared" si="89"/>
        <v>0.05</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v>
      </c>
      <c r="F476" s="719"/>
      <c r="G476" s="24">
        <f t="shared" si="88"/>
        <v>0</v>
      </c>
      <c r="H476" s="719"/>
      <c r="I476" s="24">
        <f t="shared" si="89"/>
        <v>0.05</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v>
      </c>
      <c r="F477" s="719"/>
      <c r="G477" s="24">
        <f t="shared" si="88"/>
        <v>0</v>
      </c>
      <c r="H477" s="719"/>
      <c r="I477" s="24">
        <f t="shared" si="89"/>
        <v>0.05</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v>
      </c>
      <c r="F478" s="719"/>
      <c r="G478" s="24">
        <f t="shared" si="88"/>
        <v>0</v>
      </c>
      <c r="H478" s="719"/>
      <c r="I478" s="24">
        <f t="shared" si="89"/>
        <v>0.05</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v>
      </c>
      <c r="F479" s="719"/>
      <c r="G479" s="24">
        <f t="shared" si="88"/>
        <v>0</v>
      </c>
      <c r="H479" s="719"/>
      <c r="I479" s="24">
        <f t="shared" si="89"/>
        <v>0.05</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v>
      </c>
      <c r="F480" s="719"/>
      <c r="G480" s="24">
        <f t="shared" si="88"/>
        <v>0</v>
      </c>
      <c r="H480" s="719"/>
      <c r="I480" s="24">
        <f t="shared" si="89"/>
        <v>0.05</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v>
      </c>
      <c r="F481" s="719"/>
      <c r="G481" s="24">
        <f t="shared" si="88"/>
        <v>0</v>
      </c>
      <c r="H481" s="719"/>
      <c r="I481" s="24">
        <f t="shared" si="89"/>
        <v>0.05</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v>
      </c>
      <c r="F482" s="719"/>
      <c r="G482" s="24">
        <f t="shared" si="88"/>
        <v>0</v>
      </c>
      <c r="H482" s="719"/>
      <c r="I482" s="24">
        <f t="shared" si="89"/>
        <v>0.05</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v>
      </c>
      <c r="F483" s="719"/>
      <c r="G483" s="24">
        <f t="shared" si="88"/>
        <v>0</v>
      </c>
      <c r="H483" s="719"/>
      <c r="I483" s="24">
        <f t="shared" si="89"/>
        <v>0.05</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v>
      </c>
      <c r="F484" s="719"/>
      <c r="G484" s="24">
        <f t="shared" si="88"/>
        <v>0</v>
      </c>
      <c r="H484" s="719"/>
      <c r="I484" s="24">
        <f t="shared" si="89"/>
        <v>0.05</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v>
      </c>
      <c r="F485" s="719"/>
      <c r="G485" s="24">
        <f t="shared" si="88"/>
        <v>0</v>
      </c>
      <c r="H485" s="719"/>
      <c r="I485" s="24">
        <f t="shared" si="89"/>
        <v>0.05</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v>
      </c>
      <c r="F486" s="719"/>
      <c r="G486" s="24">
        <f t="shared" si="88"/>
        <v>0</v>
      </c>
      <c r="H486" s="719"/>
      <c r="I486" s="24">
        <f t="shared" si="89"/>
        <v>0.05</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v>
      </c>
      <c r="F487" s="719"/>
      <c r="G487" s="24">
        <f t="shared" si="88"/>
        <v>0</v>
      </c>
      <c r="H487" s="719"/>
      <c r="I487" s="24">
        <f t="shared" si="89"/>
        <v>0.05</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v>
      </c>
      <c r="F488" s="719"/>
      <c r="G488" s="24">
        <f t="shared" si="88"/>
        <v>0</v>
      </c>
      <c r="H488" s="719"/>
      <c r="I488" s="24">
        <f t="shared" si="89"/>
        <v>0.05</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v>
      </c>
      <c r="F489" s="719"/>
      <c r="G489" s="24">
        <f t="shared" si="88"/>
        <v>0</v>
      </c>
      <c r="H489" s="719"/>
      <c r="I489" s="24">
        <f t="shared" si="89"/>
        <v>0.05</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v>
      </c>
      <c r="F490" s="719"/>
      <c r="G490" s="24">
        <f t="shared" si="88"/>
        <v>0</v>
      </c>
      <c r="H490" s="719"/>
      <c r="I490" s="24">
        <f t="shared" si="89"/>
        <v>0.05</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v>
      </c>
      <c r="F491" s="719"/>
      <c r="G491" s="24">
        <f t="shared" si="88"/>
        <v>0</v>
      </c>
      <c r="H491" s="719"/>
      <c r="I491" s="24">
        <f t="shared" si="89"/>
        <v>0.05</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v>
      </c>
      <c r="F492" s="719"/>
      <c r="G492" s="24">
        <f t="shared" si="88"/>
        <v>0</v>
      </c>
      <c r="H492" s="719"/>
      <c r="I492" s="24">
        <f t="shared" si="89"/>
        <v>0.05</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v>
      </c>
      <c r="F493" s="719"/>
      <c r="G493" s="24">
        <f t="shared" si="88"/>
        <v>0</v>
      </c>
      <c r="H493" s="719"/>
      <c r="I493" s="24">
        <f t="shared" si="89"/>
        <v>0.05</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v>
      </c>
      <c r="F494" s="719"/>
      <c r="G494" s="24">
        <f t="shared" si="88"/>
        <v>0</v>
      </c>
      <c r="H494" s="719"/>
      <c r="I494" s="24">
        <f t="shared" si="89"/>
        <v>0.05</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v>
      </c>
      <c r="F495" s="719"/>
      <c r="G495" s="24">
        <f t="shared" si="88"/>
        <v>0</v>
      </c>
      <c r="H495" s="719"/>
      <c r="I495" s="24">
        <f t="shared" si="89"/>
        <v>0.05</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v>
      </c>
      <c r="F496" s="719"/>
      <c r="G496" s="24">
        <f t="shared" si="88"/>
        <v>0</v>
      </c>
      <c r="H496" s="719"/>
      <c r="I496" s="24">
        <f t="shared" si="89"/>
        <v>0.05</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v>
      </c>
      <c r="F497" s="719"/>
      <c r="G497" s="24">
        <f t="shared" si="88"/>
        <v>0</v>
      </c>
      <c r="H497" s="719"/>
      <c r="I497" s="24">
        <f t="shared" si="89"/>
        <v>0.05</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v>
      </c>
      <c r="F498" s="719"/>
      <c r="G498" s="24">
        <f t="shared" si="88"/>
        <v>0</v>
      </c>
      <c r="H498" s="719"/>
      <c r="I498" s="24">
        <f t="shared" si="89"/>
        <v>0.05</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v>
      </c>
      <c r="F499" s="719"/>
      <c r="G499" s="24">
        <f t="shared" si="88"/>
        <v>0</v>
      </c>
      <c r="H499" s="719"/>
      <c r="I499" s="24">
        <f t="shared" si="89"/>
        <v>0.05</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v>
      </c>
      <c r="F500" s="719"/>
      <c r="G500" s="24">
        <f t="shared" si="88"/>
        <v>0</v>
      </c>
      <c r="H500" s="719"/>
      <c r="I500" s="24">
        <f t="shared" si="89"/>
        <v>0.05</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v>
      </c>
      <c r="F501" s="719"/>
      <c r="G501" s="24">
        <f t="shared" si="88"/>
        <v>0</v>
      </c>
      <c r="H501" s="719"/>
      <c r="I501" s="24">
        <f t="shared" si="89"/>
        <v>0.05</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v>
      </c>
      <c r="F502" s="719"/>
      <c r="G502" s="24">
        <f t="shared" si="88"/>
        <v>0</v>
      </c>
      <c r="H502" s="719"/>
      <c r="I502" s="24">
        <f t="shared" si="89"/>
        <v>0.05</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v>
      </c>
      <c r="F503" s="719"/>
      <c r="G503" s="24">
        <f t="shared" si="88"/>
        <v>0</v>
      </c>
      <c r="H503" s="719"/>
      <c r="I503" s="24">
        <f t="shared" si="89"/>
        <v>0.05</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v>
      </c>
      <c r="F504" s="719"/>
      <c r="G504" s="24">
        <f t="shared" si="88"/>
        <v>0</v>
      </c>
      <c r="H504" s="719"/>
      <c r="I504" s="24">
        <f t="shared" si="89"/>
        <v>0.05</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v>
      </c>
      <c r="F505" s="719"/>
      <c r="G505" s="24">
        <f t="shared" si="88"/>
        <v>0</v>
      </c>
      <c r="H505" s="719"/>
      <c r="I505" s="24">
        <f t="shared" si="89"/>
        <v>0.05</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v>
      </c>
      <c r="F506" s="719"/>
      <c r="G506" s="24">
        <f t="shared" si="88"/>
        <v>0</v>
      </c>
      <c r="H506" s="719"/>
      <c r="I506" s="24">
        <f t="shared" si="89"/>
        <v>0.05</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v>
      </c>
      <c r="F507" s="719"/>
      <c r="G507" s="24">
        <f t="shared" si="88"/>
        <v>0</v>
      </c>
      <c r="H507" s="719"/>
      <c r="I507" s="24">
        <f t="shared" si="89"/>
        <v>0.05</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v>
      </c>
      <c r="F508" s="719"/>
      <c r="G508" s="24">
        <f t="shared" si="88"/>
        <v>0</v>
      </c>
      <c r="H508" s="719"/>
      <c r="I508" s="24">
        <f t="shared" si="89"/>
        <v>0.05</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v>
      </c>
      <c r="F509" s="719"/>
      <c r="G509" s="24">
        <f t="shared" si="88"/>
        <v>0</v>
      </c>
      <c r="H509" s="719"/>
      <c r="I509" s="24">
        <f t="shared" si="89"/>
        <v>0.05</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v>
      </c>
      <c r="F510" s="719"/>
      <c r="G510" s="24">
        <f t="shared" si="88"/>
        <v>0</v>
      </c>
      <c r="H510" s="719"/>
      <c r="I510" s="24">
        <f t="shared" si="89"/>
        <v>0.05</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v>
      </c>
      <c r="F511" s="719"/>
      <c r="G511" s="24">
        <f t="shared" si="88"/>
        <v>0</v>
      </c>
      <c r="H511" s="719"/>
      <c r="I511" s="24">
        <f t="shared" si="89"/>
        <v>0.05</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v>
      </c>
      <c r="F512" s="719"/>
      <c r="G512" s="24">
        <f t="shared" si="88"/>
        <v>0</v>
      </c>
      <c r="H512" s="719"/>
      <c r="I512" s="24">
        <f t="shared" si="89"/>
        <v>0.05</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v>
      </c>
      <c r="F513" s="719"/>
      <c r="G513" s="24">
        <f t="shared" si="88"/>
        <v>0</v>
      </c>
      <c r="H513" s="719"/>
      <c r="I513" s="24">
        <f t="shared" si="89"/>
        <v>0.05</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v>
      </c>
      <c r="F514" s="719"/>
      <c r="G514" s="24">
        <f t="shared" si="88"/>
        <v>0</v>
      </c>
      <c r="H514" s="719"/>
      <c r="I514" s="24">
        <f t="shared" si="89"/>
        <v>0.05</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v>
      </c>
      <c r="F515" s="719"/>
      <c r="G515" s="24">
        <f t="shared" si="88"/>
        <v>0</v>
      </c>
      <c r="H515" s="719"/>
      <c r="I515" s="24">
        <f t="shared" si="89"/>
        <v>0.05</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v>
      </c>
      <c r="F516" s="719"/>
      <c r="G516" s="24">
        <f t="shared" si="88"/>
        <v>0</v>
      </c>
      <c r="H516" s="719"/>
      <c r="I516" s="24">
        <f t="shared" si="89"/>
        <v>0.05</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v>
      </c>
      <c r="F517" s="719"/>
      <c r="G517" s="24">
        <f t="shared" si="88"/>
        <v>0</v>
      </c>
      <c r="H517" s="719"/>
      <c r="I517" s="24">
        <f t="shared" si="89"/>
        <v>0.05</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v>
      </c>
      <c r="F518" s="719"/>
      <c r="G518" s="24">
        <f t="shared" si="88"/>
        <v>0</v>
      </c>
      <c r="H518" s="719"/>
      <c r="I518" s="24">
        <f t="shared" si="89"/>
        <v>0.05</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v>
      </c>
      <c r="F519" s="719"/>
      <c r="G519" s="24">
        <f t="shared" si="88"/>
        <v>0</v>
      </c>
      <c r="H519" s="719"/>
      <c r="I519" s="24">
        <f t="shared" si="89"/>
        <v>0.05</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v>
      </c>
      <c r="F520" s="719"/>
      <c r="G520" s="24">
        <f t="shared" si="88"/>
        <v>0</v>
      </c>
      <c r="H520" s="719"/>
      <c r="I520" s="24">
        <f t="shared" si="89"/>
        <v>0.05</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v>
      </c>
      <c r="F521" s="719"/>
      <c r="G521" s="24">
        <f t="shared" si="88"/>
        <v>0</v>
      </c>
      <c r="H521" s="719"/>
      <c r="I521" s="24">
        <f t="shared" si="89"/>
        <v>0.05</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v>
      </c>
      <c r="F522" s="719"/>
      <c r="G522" s="24">
        <f t="shared" si="88"/>
        <v>0</v>
      </c>
      <c r="H522" s="719"/>
      <c r="I522" s="24">
        <f t="shared" si="89"/>
        <v>0.05</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v>
      </c>
      <c r="F523" s="719"/>
      <c r="G523" s="24">
        <f t="shared" si="88"/>
        <v>0</v>
      </c>
      <c r="H523" s="719"/>
      <c r="I523" s="24">
        <f t="shared" si="89"/>
        <v>0.05</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v>
      </c>
      <c r="F524" s="719"/>
      <c r="G524" s="24">
        <f t="shared" si="88"/>
        <v>0</v>
      </c>
      <c r="H524" s="719"/>
      <c r="I524" s="24">
        <f t="shared" si="89"/>
        <v>0.05</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19" sqref="G19"/>
    </sheetView>
  </sheetViews>
  <sheetFormatPr defaultRowHeight="13.5"/>
  <cols>
    <col min="2" max="2" width="34.125" customWidth="1"/>
    <col min="4" max="4" width="20.375" customWidth="1"/>
    <col min="7" max="7" width="17.875" customWidth="1"/>
  </cols>
  <sheetData>
    <row r="1" spans="1:10">
      <c r="A1" s="2939" t="s">
        <v>3036</v>
      </c>
      <c r="B1" s="2940" t="s">
        <v>3037</v>
      </c>
      <c r="C1" s="2939" t="s">
        <v>3038</v>
      </c>
      <c r="D1" s="2939" t="s">
        <v>3039</v>
      </c>
      <c r="E1" s="2939" t="s">
        <v>3040</v>
      </c>
      <c r="F1" s="2939" t="s">
        <v>3041</v>
      </c>
      <c r="G1" s="2941" t="s">
        <v>3042</v>
      </c>
      <c r="H1" s="2959" t="s">
        <v>3124</v>
      </c>
    </row>
    <row r="2" spans="1:10">
      <c r="A2" s="2939">
        <v>1</v>
      </c>
      <c r="B2" s="2940" t="s">
        <v>3133</v>
      </c>
      <c r="C2" s="2939" t="s">
        <v>3134</v>
      </c>
      <c r="D2" s="2939" t="s">
        <v>3135</v>
      </c>
      <c r="E2" s="2939" t="s">
        <v>3136</v>
      </c>
      <c r="F2" s="2939" t="s">
        <v>3137</v>
      </c>
      <c r="G2" s="2962">
        <v>582.44000000000005</v>
      </c>
      <c r="H2">
        <v>577.58000000000004</v>
      </c>
      <c r="J2" s="2948" t="s">
        <v>3142</v>
      </c>
    </row>
    <row r="3" spans="1:10">
      <c r="A3" s="2939">
        <v>2</v>
      </c>
      <c r="B3" s="2940" t="s">
        <v>3196</v>
      </c>
      <c r="C3" s="2939" t="s">
        <v>3138</v>
      </c>
      <c r="D3" s="2939" t="s">
        <v>3135</v>
      </c>
      <c r="E3" s="2939" t="s">
        <v>3043</v>
      </c>
      <c r="F3" s="2939" t="s">
        <v>3130</v>
      </c>
      <c r="G3" s="2962">
        <v>539.39</v>
      </c>
      <c r="H3" s="2977">
        <v>625.77</v>
      </c>
      <c r="J3" s="2948" t="s">
        <v>3142</v>
      </c>
    </row>
    <row r="4" spans="1:10" ht="24">
      <c r="A4" s="2939">
        <v>3</v>
      </c>
      <c r="B4" s="2960" t="s">
        <v>3139</v>
      </c>
      <c r="C4" s="2939"/>
      <c r="D4" s="2961" t="s">
        <v>3129</v>
      </c>
      <c r="E4" s="2939"/>
      <c r="F4" s="2960" t="s">
        <v>3137</v>
      </c>
      <c r="G4" s="2963">
        <v>861.83</v>
      </c>
      <c r="J4" s="2948" t="s">
        <v>3147</v>
      </c>
    </row>
    <row r="5" spans="1:10" ht="24">
      <c r="A5" s="2939">
        <v>4</v>
      </c>
      <c r="B5" s="2960" t="s">
        <v>3140</v>
      </c>
      <c r="C5" s="2939"/>
      <c r="D5" s="2961" t="s">
        <v>3129</v>
      </c>
      <c r="E5" s="2939"/>
      <c r="F5" s="2960" t="s">
        <v>3130</v>
      </c>
      <c r="G5" s="2963">
        <v>861.83</v>
      </c>
      <c r="J5" s="2948" t="s">
        <v>3148</v>
      </c>
    </row>
    <row r="6" spans="1:10" ht="24">
      <c r="A6" s="2939">
        <v>5</v>
      </c>
      <c r="B6" s="2960" t="s">
        <v>3131</v>
      </c>
      <c r="C6" s="2939"/>
      <c r="D6" s="2961" t="s">
        <v>3129</v>
      </c>
      <c r="E6" s="2939"/>
      <c r="F6" s="2960" t="s">
        <v>3137</v>
      </c>
      <c r="G6" s="2963">
        <v>861.83</v>
      </c>
      <c r="J6" s="2948" t="s">
        <v>3149</v>
      </c>
    </row>
    <row r="7" spans="1:10" ht="24">
      <c r="A7" s="2939">
        <v>6</v>
      </c>
      <c r="B7" s="2960" t="s">
        <v>3132</v>
      </c>
      <c r="C7" s="2939"/>
      <c r="D7" s="2961" t="s">
        <v>3129</v>
      </c>
      <c r="E7" s="2939"/>
      <c r="F7" s="2960" t="s">
        <v>3130</v>
      </c>
      <c r="G7" s="2963">
        <v>861.83</v>
      </c>
      <c r="J7" s="2948" t="s">
        <v>3150</v>
      </c>
    </row>
    <row r="8" spans="1:10">
      <c r="A8" s="2939"/>
      <c r="B8" s="2940"/>
      <c r="C8" s="2939"/>
      <c r="D8" s="2939"/>
      <c r="E8" s="2939"/>
      <c r="F8" s="2939"/>
      <c r="G8" s="2941">
        <f>SUM(G2:G7)</f>
        <v>4569.1499999999996</v>
      </c>
      <c r="H8">
        <f>SUM(H2:H7)</f>
        <v>1203.3499999999999</v>
      </c>
      <c r="J8" s="2948"/>
    </row>
    <row r="9" spans="1:10">
      <c r="A9" s="2939"/>
      <c r="B9" s="2940"/>
      <c r="C9" s="2939"/>
      <c r="D9" s="2939"/>
      <c r="E9" s="2939"/>
      <c r="F9" s="2939"/>
      <c r="G9" s="2941"/>
      <c r="J9" s="2949"/>
    </row>
    <row r="10" spans="1:10">
      <c r="A10" s="3255"/>
      <c r="B10" s="3255"/>
      <c r="C10" s="2942"/>
      <c r="D10" s="2942"/>
      <c r="E10" s="2942"/>
      <c r="F10" s="2942"/>
      <c r="G10" s="2943"/>
    </row>
    <row r="11" spans="1:10">
      <c r="A11" s="2939"/>
      <c r="B11" s="2940"/>
      <c r="C11" s="2939"/>
      <c r="D11" s="2939"/>
      <c r="E11" s="2939"/>
      <c r="F11" s="2939"/>
      <c r="G11" s="2941"/>
    </row>
    <row r="12" spans="1:10">
      <c r="A12" s="2939"/>
      <c r="B12" s="2940"/>
      <c r="C12" s="2939"/>
      <c r="D12" s="2939"/>
      <c r="E12" s="2939"/>
      <c r="F12" s="2939"/>
      <c r="G12" s="2941"/>
    </row>
    <row r="13" spans="1:10">
      <c r="G13" s="2978">
        <f>G2+G3</f>
        <v>1121.83</v>
      </c>
      <c r="H13">
        <f>H2+H3</f>
        <v>1203.3499999999999</v>
      </c>
    </row>
    <row r="15" spans="1:10">
      <c r="G15" s="2980"/>
    </row>
  </sheetData>
  <mergeCells count="1">
    <mergeCell ref="A10:B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广州市方圆房地产发展有限公司：</v>
      </c>
    </row>
    <row r="4" spans="1:1" ht="36">
      <c r="A4" s="1949" t="str">
        <f>"受贵公司委托，我公司对"&amp;项目基本情况!S1&amp;"进行了预评估。"</f>
        <v>受贵公司委托，我公司对广东省广州市从化区温泉镇明月山溪大道明月里二街1号房地产抵押价值进行了预评估。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1" ht="57.75">
      <c r="A8" s="1952" t="s">
        <v>1614</v>
      </c>
    </row>
    <row r="9" spans="1:1" ht="18.75">
      <c r="A9" s="1951" t="s">
        <v>1615</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2018年8月4日（评估专业人员实地查勘之日）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6" sqref="F3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6" t="s">
        <v>2677</v>
      </c>
      <c r="C1" s="1622" t="s">
        <v>2521</v>
      </c>
      <c r="D1" s="1623"/>
      <c r="E1" s="1632"/>
      <c r="F1" s="2582"/>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4"/>
      <c r="D2" s="1367"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582.44000000000005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264" t="s">
        <v>2642</v>
      </c>
      <c r="Q4" s="3265"/>
      <c r="R4" s="3257" t="s">
        <v>2638</v>
      </c>
      <c r="S4" s="3258"/>
      <c r="T4" s="3257" t="s">
        <v>2639</v>
      </c>
      <c r="U4" s="3258"/>
      <c r="V4" s="3268" t="s">
        <v>2640</v>
      </c>
      <c r="W4" s="3268"/>
      <c r="X4" s="2667"/>
      <c r="Y4" s="3257" t="s">
        <v>2642</v>
      </c>
      <c r="Z4" s="3258"/>
      <c r="AA4" s="3256" t="s">
        <v>2638</v>
      </c>
      <c r="AB4" s="3256" t="s">
        <v>2639</v>
      </c>
      <c r="AC4" s="3261" t="s">
        <v>2640</v>
      </c>
    </row>
    <row r="5" spans="1:29" ht="15">
      <c r="A5" s="404"/>
      <c r="B5" s="405"/>
      <c r="C5" s="3240" t="s">
        <v>2533</v>
      </c>
      <c r="D5" s="3241"/>
      <c r="E5" s="3259" t="s">
        <v>2534</v>
      </c>
      <c r="F5" s="3260"/>
      <c r="G5" s="3240" t="s">
        <v>2535</v>
      </c>
      <c r="H5" s="3241"/>
      <c r="I5" s="3240" t="s">
        <v>2536</v>
      </c>
      <c r="J5" s="3241"/>
      <c r="K5" s="610"/>
      <c r="L5" s="1132"/>
      <c r="M5" s="1133"/>
      <c r="N5" s="1133"/>
      <c r="O5" s="1133"/>
      <c r="P5" s="3266"/>
      <c r="Q5" s="3198"/>
      <c r="R5" s="3180"/>
      <c r="S5" s="3181"/>
      <c r="T5" s="3180"/>
      <c r="U5" s="3181"/>
      <c r="V5" s="3175"/>
      <c r="W5" s="3175"/>
      <c r="X5" s="1814"/>
      <c r="Y5" s="3180"/>
      <c r="Z5" s="3181"/>
      <c r="AA5" s="3173"/>
      <c r="AB5" s="3173"/>
      <c r="AC5" s="3262"/>
    </row>
    <row r="6" spans="1:29" ht="15.75" thickBot="1">
      <c r="A6" s="406"/>
      <c r="B6" s="407"/>
      <c r="C6" s="3242" t="s">
        <v>2537</v>
      </c>
      <c r="D6" s="3243"/>
      <c r="E6" s="3244" t="s">
        <v>2537</v>
      </c>
      <c r="F6" s="3245"/>
      <c r="G6" s="3242" t="s">
        <v>2537</v>
      </c>
      <c r="H6" s="3243"/>
      <c r="I6" s="3242" t="s">
        <v>2537</v>
      </c>
      <c r="J6" s="3243"/>
      <c r="K6" s="610" t="s">
        <v>2538</v>
      </c>
      <c r="L6" s="1132"/>
      <c r="M6" s="1133"/>
      <c r="N6" s="1133"/>
      <c r="O6" s="1133"/>
      <c r="P6" s="3267"/>
      <c r="Q6" s="3200"/>
      <c r="R6" s="3180"/>
      <c r="S6" s="3181"/>
      <c r="T6" s="3201"/>
      <c r="U6" s="3202"/>
      <c r="V6" s="3175"/>
      <c r="W6" s="3175"/>
      <c r="X6" s="1814"/>
      <c r="Y6" s="3201"/>
      <c r="Z6" s="3202"/>
      <c r="AA6" s="3174"/>
      <c r="AB6" s="3174"/>
      <c r="AC6" s="3263"/>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9" t="s">
        <v>2540</v>
      </c>
      <c r="Q7" s="3203"/>
      <c r="R7" s="769" t="s">
        <v>17</v>
      </c>
      <c r="S7" s="770">
        <f t="shared" ref="S7:S15" si="0">F7</f>
        <v>0</v>
      </c>
      <c r="T7" s="769" t="s">
        <v>17</v>
      </c>
      <c r="U7" s="770">
        <f t="shared" ref="U7:U15" si="1">H7</f>
        <v>0</v>
      </c>
      <c r="V7" s="769" t="s">
        <v>17</v>
      </c>
      <c r="W7" s="770">
        <f t="shared" ref="W7:W15" si="2">J7</f>
        <v>0</v>
      </c>
      <c r="X7" s="771"/>
      <c r="Y7" s="3176" t="s">
        <v>2540</v>
      </c>
      <c r="Z7" s="3177"/>
      <c r="AA7" s="772" t="e">
        <f>D7/F7</f>
        <v>#DIV/0!</v>
      </c>
      <c r="AB7" s="772" t="e">
        <f>D7/H7</f>
        <v>#DIV/0!</v>
      </c>
      <c r="AC7" s="2668"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9" t="s">
        <v>2543</v>
      </c>
      <c r="Q8" s="3177"/>
      <c r="R8" s="769" t="s">
        <v>17</v>
      </c>
      <c r="S8" s="770">
        <f t="shared" si="0"/>
        <v>0</v>
      </c>
      <c r="T8" s="769" t="s">
        <v>17</v>
      </c>
      <c r="U8" s="770">
        <f t="shared" si="1"/>
        <v>0</v>
      </c>
      <c r="V8" s="769" t="s">
        <v>17</v>
      </c>
      <c r="W8" s="770">
        <f t="shared" si="2"/>
        <v>0</v>
      </c>
      <c r="X8" s="771"/>
      <c r="Y8" s="3176" t="s">
        <v>2543</v>
      </c>
      <c r="Z8" s="3177"/>
      <c r="AA8" s="772" t="e">
        <f t="shared" ref="AA8:AA47" si="3">D8/F8</f>
        <v>#DIV/0!</v>
      </c>
      <c r="AB8" s="772" t="e">
        <f t="shared" ref="AB8:AB47" si="4">D8/H8</f>
        <v>#DIV/0!</v>
      </c>
      <c r="AC8" s="2668"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0"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2668">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68">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0"/>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68" t="e">
        <f t="shared" si="5"/>
        <v>#N/A</v>
      </c>
    </row>
    <row r="12" spans="1:29" s="117" customFormat="1" ht="15">
      <c r="A12" s="431"/>
      <c r="B12" s="2598">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68">
        <f>D12/J12</f>
        <v>1</v>
      </c>
    </row>
    <row r="13" spans="1:29" ht="15">
      <c r="A13" s="428"/>
      <c r="B13" s="2598">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68">
        <f t="shared" si="5"/>
        <v>1</v>
      </c>
    </row>
    <row r="14" spans="1:29" ht="15.75" thickBot="1">
      <c r="A14" s="436"/>
      <c r="B14" s="2600">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68">
        <f t="shared" si="5"/>
        <v>1</v>
      </c>
    </row>
    <row r="15" spans="1:29" ht="15">
      <c r="A15" s="440" t="s">
        <v>2550</v>
      </c>
      <c r="B15" s="629" t="s">
        <v>2678</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4" t="s">
        <v>2551</v>
      </c>
      <c r="Q15" s="1811" t="str">
        <f t="shared" si="6"/>
        <v>办公集聚程度</v>
      </c>
      <c r="R15" s="773" t="s">
        <v>17</v>
      </c>
      <c r="S15" s="774">
        <f t="shared" si="0"/>
        <v>100</v>
      </c>
      <c r="T15" s="773" t="s">
        <v>17</v>
      </c>
      <c r="U15" s="774">
        <f t="shared" si="1"/>
        <v>100</v>
      </c>
      <c r="V15" s="773" t="s">
        <v>17</v>
      </c>
      <c r="W15" s="774">
        <f t="shared" si="2"/>
        <v>100</v>
      </c>
      <c r="X15" s="1814"/>
      <c r="Y15" s="3206" t="s">
        <v>2551</v>
      </c>
      <c r="Z15" s="1815" t="str">
        <f t="shared" si="7"/>
        <v>办公集聚程度</v>
      </c>
      <c r="AA15" s="1812">
        <f t="shared" si="3"/>
        <v>1</v>
      </c>
      <c r="AB15" s="1812">
        <f t="shared" si="4"/>
        <v>1</v>
      </c>
      <c r="AC15" s="2671">
        <f t="shared" si="5"/>
        <v>1</v>
      </c>
    </row>
    <row r="16" spans="1:29" ht="15">
      <c r="A16" s="428"/>
      <c r="B16" s="630"/>
      <c r="C16" s="2609"/>
      <c r="D16" s="448"/>
      <c r="E16" s="447"/>
      <c r="F16" s="448"/>
      <c r="G16" s="2609"/>
      <c r="H16" s="450"/>
      <c r="I16" s="447"/>
      <c r="J16" s="448"/>
      <c r="K16" s="615"/>
      <c r="L16" s="1142"/>
      <c r="M16" s="1133"/>
      <c r="N16" s="1133"/>
      <c r="O16" s="1133"/>
      <c r="P16" s="3205"/>
      <c r="Q16" s="1811"/>
      <c r="R16" s="773"/>
      <c r="S16" s="774"/>
      <c r="T16" s="773"/>
      <c r="U16" s="774"/>
      <c r="V16" s="773"/>
      <c r="W16" s="774"/>
      <c r="X16" s="1814"/>
      <c r="Y16" s="3207"/>
      <c r="Z16" s="1815"/>
      <c r="AA16" s="1812">
        <v>1</v>
      </c>
      <c r="AB16" s="1812">
        <v>1</v>
      </c>
      <c r="AC16" s="2671">
        <v>1</v>
      </c>
    </row>
    <row r="17" spans="1:29" ht="15">
      <c r="A17" s="428"/>
      <c r="B17" s="631" t="s">
        <v>2090</v>
      </c>
      <c r="C17" s="2672"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5"/>
      <c r="Q17" s="1811" t="str">
        <f>B17</f>
        <v>交通便捷度</v>
      </c>
      <c r="R17" s="773" t="s">
        <v>17</v>
      </c>
      <c r="S17" s="774">
        <f>F17</f>
        <v>100</v>
      </c>
      <c r="T17" s="773" t="s">
        <v>17</v>
      </c>
      <c r="U17" s="774">
        <f>H17</f>
        <v>100</v>
      </c>
      <c r="V17" s="773" t="s">
        <v>17</v>
      </c>
      <c r="W17" s="774">
        <f>J17</f>
        <v>100</v>
      </c>
      <c r="X17" s="1814"/>
      <c r="Y17" s="3207"/>
      <c r="Z17" s="1815" t="str">
        <f>Q17</f>
        <v>交通便捷度</v>
      </c>
      <c r="AA17" s="1812">
        <f t="shared" si="3"/>
        <v>1</v>
      </c>
      <c r="AB17" s="1812">
        <f t="shared" si="4"/>
        <v>1</v>
      </c>
      <c r="AC17" s="2671">
        <f t="shared" si="5"/>
        <v>1</v>
      </c>
    </row>
    <row r="18" spans="1:29" ht="15">
      <c r="A18" s="428"/>
      <c r="B18" s="632"/>
      <c r="C18" s="2673"/>
      <c r="D18" s="450"/>
      <c r="E18" s="2607"/>
      <c r="F18" s="450"/>
      <c r="G18" s="2608"/>
      <c r="H18" s="448"/>
      <c r="I18" s="2608"/>
      <c r="J18" s="448"/>
      <c r="K18" s="615"/>
      <c r="L18" s="1142"/>
      <c r="M18" s="1133"/>
      <c r="N18" s="1133"/>
      <c r="O18" s="1133"/>
      <c r="P18" s="3205"/>
      <c r="Q18" s="1811"/>
      <c r="R18" s="773"/>
      <c r="S18" s="774"/>
      <c r="T18" s="773"/>
      <c r="U18" s="774"/>
      <c r="V18" s="773"/>
      <c r="W18" s="774"/>
      <c r="X18" s="1814"/>
      <c r="Y18" s="3207"/>
      <c r="Z18" s="1815"/>
      <c r="AA18" s="1812">
        <v>1</v>
      </c>
      <c r="AB18" s="1812">
        <v>1</v>
      </c>
      <c r="AC18" s="2671">
        <v>1</v>
      </c>
    </row>
    <row r="19" spans="1:29" ht="15">
      <c r="A19" s="428"/>
      <c r="B19" s="631" t="s">
        <v>2679</v>
      </c>
      <c r="C19" s="2672"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5"/>
      <c r="Q19" s="1811" t="str">
        <f>B19</f>
        <v>公共配套设施</v>
      </c>
      <c r="R19" s="773" t="s">
        <v>17</v>
      </c>
      <c r="S19" s="774">
        <f>F19</f>
        <v>100</v>
      </c>
      <c r="T19" s="773" t="s">
        <v>17</v>
      </c>
      <c r="U19" s="774">
        <f>H19</f>
        <v>100</v>
      </c>
      <c r="V19" s="773" t="s">
        <v>17</v>
      </c>
      <c r="W19" s="774">
        <f>J19</f>
        <v>100</v>
      </c>
      <c r="X19" s="1814"/>
      <c r="Y19" s="3207"/>
      <c r="Z19" s="1815" t="str">
        <f>Q19</f>
        <v>公共配套设施</v>
      </c>
      <c r="AA19" s="1812">
        <f t="shared" si="3"/>
        <v>1</v>
      </c>
      <c r="AB19" s="1812">
        <f t="shared" si="4"/>
        <v>1</v>
      </c>
      <c r="AC19" s="2671">
        <f t="shared" si="5"/>
        <v>1</v>
      </c>
    </row>
    <row r="20" spans="1:29" ht="15">
      <c r="A20" s="428"/>
      <c r="B20" s="632"/>
      <c r="C20" s="2609"/>
      <c r="D20" s="448"/>
      <c r="E20" s="2602"/>
      <c r="F20" s="448"/>
      <c r="G20" s="2603"/>
      <c r="H20" s="448"/>
      <c r="I20" s="2603"/>
      <c r="J20" s="448"/>
      <c r="K20" s="615"/>
      <c r="L20" s="1142"/>
      <c r="M20" s="1133"/>
      <c r="N20" s="1133"/>
      <c r="O20" s="1133"/>
      <c r="P20" s="3205"/>
      <c r="Q20" s="1811"/>
      <c r="R20" s="773"/>
      <c r="S20" s="774"/>
      <c r="T20" s="773"/>
      <c r="U20" s="774"/>
      <c r="V20" s="773"/>
      <c r="W20" s="774"/>
      <c r="X20" s="1814"/>
      <c r="Y20" s="3207"/>
      <c r="Z20" s="1815"/>
      <c r="AA20" s="1812">
        <v>1</v>
      </c>
      <c r="AB20" s="1812">
        <v>1</v>
      </c>
      <c r="AC20" s="2671">
        <v>1</v>
      </c>
    </row>
    <row r="21" spans="1:29" ht="15">
      <c r="A21" s="428"/>
      <c r="B21" s="633" t="s">
        <v>2680</v>
      </c>
      <c r="C21" s="2672"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5"/>
      <c r="Q21" s="1811" t="str">
        <f>B21</f>
        <v>基础设施水平</v>
      </c>
      <c r="R21" s="773" t="s">
        <v>17</v>
      </c>
      <c r="S21" s="774">
        <f>F21</f>
        <v>100</v>
      </c>
      <c r="T21" s="773" t="s">
        <v>17</v>
      </c>
      <c r="U21" s="774">
        <f>H21</f>
        <v>100</v>
      </c>
      <c r="V21" s="773" t="s">
        <v>17</v>
      </c>
      <c r="W21" s="774">
        <f>J21</f>
        <v>100</v>
      </c>
      <c r="X21" s="1814"/>
      <c r="Y21" s="3207"/>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9"/>
      <c r="H22" s="448"/>
      <c r="I22" s="2609"/>
      <c r="J22" s="448"/>
      <c r="K22" s="1385"/>
      <c r="L22" s="1142"/>
      <c r="M22" s="1133"/>
      <c r="N22" s="1133"/>
      <c r="O22" s="1133"/>
      <c r="P22" s="3205"/>
      <c r="Q22" s="1811"/>
      <c r="R22" s="773"/>
      <c r="S22" s="774"/>
      <c r="T22" s="773"/>
      <c r="U22" s="774"/>
      <c r="V22" s="773"/>
      <c r="W22" s="774"/>
      <c r="X22" s="1814"/>
      <c r="Y22" s="3207"/>
      <c r="Z22" s="1815"/>
      <c r="AA22" s="1812">
        <v>1</v>
      </c>
      <c r="AB22" s="1812">
        <v>1</v>
      </c>
      <c r="AC22" s="2671">
        <v>1</v>
      </c>
    </row>
    <row r="23" spans="1:29" ht="15">
      <c r="A23" s="428"/>
      <c r="B23" s="631" t="s">
        <v>2681</v>
      </c>
      <c r="C23" s="2672"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5"/>
      <c r="Q23" s="1811" t="str">
        <f>B23</f>
        <v>环境质量</v>
      </c>
      <c r="R23" s="773" t="s">
        <v>17</v>
      </c>
      <c r="S23" s="774">
        <f>F23</f>
        <v>100</v>
      </c>
      <c r="T23" s="773" t="s">
        <v>17</v>
      </c>
      <c r="U23" s="774">
        <f>H23</f>
        <v>100</v>
      </c>
      <c r="V23" s="773" t="s">
        <v>17</v>
      </c>
      <c r="W23" s="774">
        <f>J23</f>
        <v>100</v>
      </c>
      <c r="X23" s="1814"/>
      <c r="Y23" s="3207"/>
      <c r="Z23" s="1815" t="str">
        <f>Q23</f>
        <v>环境质量</v>
      </c>
      <c r="AA23" s="1812">
        <f t="shared" si="3"/>
        <v>1</v>
      </c>
      <c r="AB23" s="1812">
        <f t="shared" si="4"/>
        <v>1</v>
      </c>
      <c r="AC23" s="2671">
        <f t="shared" si="5"/>
        <v>1</v>
      </c>
    </row>
    <row r="24" spans="1:29" ht="15">
      <c r="A24" s="428"/>
      <c r="B24" s="633"/>
      <c r="C24" s="2609"/>
      <c r="D24" s="448"/>
      <c r="E24" s="2602"/>
      <c r="F24" s="448"/>
      <c r="G24" s="2603"/>
      <c r="H24" s="448"/>
      <c r="I24" s="2603"/>
      <c r="J24" s="448"/>
      <c r="K24" s="615"/>
      <c r="L24" s="1142"/>
      <c r="M24" s="1133"/>
      <c r="N24" s="1133"/>
      <c r="O24" s="1133"/>
      <c r="P24" s="3205"/>
      <c r="Q24" s="1811"/>
      <c r="R24" s="773"/>
      <c r="S24" s="774"/>
      <c r="T24" s="773"/>
      <c r="U24" s="774"/>
      <c r="V24" s="773"/>
      <c r="W24" s="774"/>
      <c r="X24" s="1814"/>
      <c r="Y24" s="3207"/>
      <c r="Z24" s="1815"/>
      <c r="AA24" s="1812">
        <v>1</v>
      </c>
      <c r="AB24" s="1812">
        <v>1</v>
      </c>
      <c r="AC24" s="2671">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2"/>
      <c r="M25" s="1133"/>
      <c r="N25" s="1133"/>
      <c r="O25" s="1133"/>
      <c r="P25" s="3205"/>
      <c r="Q25" s="1811" t="str">
        <f>B25</f>
        <v>毗邻道路的类型与等级</v>
      </c>
      <c r="R25" s="773" t="s">
        <v>17</v>
      </c>
      <c r="S25" s="774">
        <f>F25</f>
        <v>100</v>
      </c>
      <c r="T25" s="773" t="s">
        <v>17</v>
      </c>
      <c r="U25" s="774">
        <f>H25</f>
        <v>100</v>
      </c>
      <c r="V25" s="773" t="s">
        <v>17</v>
      </c>
      <c r="W25" s="774">
        <f>J25</f>
        <v>100</v>
      </c>
      <c r="X25" s="1814"/>
      <c r="Y25" s="3207"/>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05"/>
      <c r="Q26" s="1811"/>
      <c r="R26" s="773"/>
      <c r="S26" s="774"/>
      <c r="T26" s="773"/>
      <c r="U26" s="774"/>
      <c r="V26" s="773"/>
      <c r="W26" s="774"/>
      <c r="X26" s="1814"/>
      <c r="Y26" s="3207"/>
      <c r="Z26" s="1815"/>
      <c r="AA26" s="1812">
        <v>1</v>
      </c>
      <c r="AB26" s="1812">
        <v>1</v>
      </c>
      <c r="AC26" s="2671">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5"/>
      <c r="Q27" s="1811" t="str">
        <f t="shared" ref="Q27:Q47" si="11">B27</f>
        <v>楼层</v>
      </c>
      <c r="R27" s="773" t="s">
        <v>17</v>
      </c>
      <c r="S27" s="774">
        <f>F27</f>
        <v>100</v>
      </c>
      <c r="T27" s="773" t="s">
        <v>17</v>
      </c>
      <c r="U27" s="774">
        <f>H27</f>
        <v>100</v>
      </c>
      <c r="V27" s="773" t="s">
        <v>17</v>
      </c>
      <c r="W27" s="774">
        <f>J27</f>
        <v>100</v>
      </c>
      <c r="X27" s="1814"/>
      <c r="Y27" s="3207"/>
      <c r="Z27" s="1815" t="str">
        <f>Q27</f>
        <v>楼层</v>
      </c>
      <c r="AA27" s="1812">
        <f t="shared" si="3"/>
        <v>1</v>
      </c>
      <c r="AB27" s="1812">
        <f t="shared" si="4"/>
        <v>1</v>
      </c>
      <c r="AC27" s="2671">
        <f t="shared" si="5"/>
        <v>1</v>
      </c>
    </row>
    <row r="28" spans="1:29" s="117" customFormat="1" ht="15">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05"/>
      <c r="Q28" s="1796" t="str">
        <f t="shared" si="11"/>
        <v>朝向</v>
      </c>
      <c r="R28" s="769" t="s">
        <v>17</v>
      </c>
      <c r="S28" s="770">
        <f>F28</f>
        <v>100</v>
      </c>
      <c r="T28" s="769" t="s">
        <v>17</v>
      </c>
      <c r="U28" s="770">
        <f>H28</f>
        <v>100</v>
      </c>
      <c r="V28" s="769" t="s">
        <v>17</v>
      </c>
      <c r="W28" s="770">
        <f>J28</f>
        <v>100</v>
      </c>
      <c r="X28" s="771"/>
      <c r="Y28" s="3207"/>
      <c r="Z28" s="55" t="str">
        <f>Q28</f>
        <v>朝向</v>
      </c>
      <c r="AA28" s="1812">
        <f>D28/F28</f>
        <v>1</v>
      </c>
      <c r="AB28" s="1812">
        <f>D28/H28</f>
        <v>1</v>
      </c>
      <c r="AC28" s="2671">
        <f>D28/J28</f>
        <v>1</v>
      </c>
    </row>
    <row r="29" spans="1:29" ht="15">
      <c r="A29" s="428"/>
      <c r="B29" s="2675">
        <v>111</v>
      </c>
      <c r="C29" s="2613"/>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05"/>
      <c r="Q29" s="1811">
        <f t="shared" si="11"/>
        <v>111</v>
      </c>
      <c r="R29" s="773" t="s">
        <v>17</v>
      </c>
      <c r="S29" s="774">
        <f t="shared" ref="S29:S47" si="12">F29</f>
        <v>100</v>
      </c>
      <c r="T29" s="773" t="s">
        <v>17</v>
      </c>
      <c r="U29" s="774">
        <f t="shared" ref="U29:U47" si="13">H29</f>
        <v>100</v>
      </c>
      <c r="V29" s="773" t="s">
        <v>17</v>
      </c>
      <c r="W29" s="774">
        <f t="shared" ref="W29:W47" si="14">J29</f>
        <v>100</v>
      </c>
      <c r="X29" s="1814"/>
      <c r="Y29" s="3207"/>
      <c r="Z29" s="1815">
        <f t="shared" ref="Z29:Z47" si="15">Q29</f>
        <v>111</v>
      </c>
      <c r="AA29" s="1812">
        <f t="shared" si="3"/>
        <v>1</v>
      </c>
      <c r="AB29" s="1812">
        <f t="shared" si="4"/>
        <v>1</v>
      </c>
      <c r="AC29" s="2671">
        <f t="shared" si="5"/>
        <v>1</v>
      </c>
    </row>
    <row r="30" spans="1:29" ht="15">
      <c r="A30" s="428"/>
      <c r="B30" s="2675">
        <v>111</v>
      </c>
      <c r="C30" s="2613"/>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05"/>
      <c r="Q30" s="1811">
        <f t="shared" si="11"/>
        <v>111</v>
      </c>
      <c r="R30" s="773" t="s">
        <v>17</v>
      </c>
      <c r="S30" s="774">
        <f t="shared" si="12"/>
        <v>100</v>
      </c>
      <c r="T30" s="773" t="s">
        <v>17</v>
      </c>
      <c r="U30" s="774">
        <f t="shared" si="13"/>
        <v>100</v>
      </c>
      <c r="V30" s="773" t="s">
        <v>17</v>
      </c>
      <c r="W30" s="774">
        <f t="shared" si="14"/>
        <v>100</v>
      </c>
      <c r="X30" s="1814"/>
      <c r="Y30" s="3207"/>
      <c r="Z30" s="1815">
        <f t="shared" si="15"/>
        <v>111</v>
      </c>
      <c r="AA30" s="1812">
        <f t="shared" si="3"/>
        <v>1</v>
      </c>
      <c r="AB30" s="1812">
        <f t="shared" si="4"/>
        <v>1</v>
      </c>
      <c r="AC30" s="2671">
        <f t="shared" si="5"/>
        <v>1</v>
      </c>
    </row>
    <row r="31" spans="1:29" ht="15">
      <c r="A31" s="428"/>
      <c r="B31" s="2675">
        <v>111</v>
      </c>
      <c r="C31" s="2613"/>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05"/>
      <c r="Q31" s="1811">
        <f t="shared" si="11"/>
        <v>111</v>
      </c>
      <c r="R31" s="773" t="s">
        <v>17</v>
      </c>
      <c r="S31" s="774">
        <f t="shared" si="12"/>
        <v>100</v>
      </c>
      <c r="T31" s="773" t="s">
        <v>17</v>
      </c>
      <c r="U31" s="774">
        <f t="shared" si="13"/>
        <v>100</v>
      </c>
      <c r="V31" s="773" t="s">
        <v>17</v>
      </c>
      <c r="W31" s="774">
        <f t="shared" si="14"/>
        <v>100</v>
      </c>
      <c r="X31" s="1814"/>
      <c r="Y31" s="3207"/>
      <c r="Z31" s="1815">
        <f t="shared" si="15"/>
        <v>111</v>
      </c>
      <c r="AA31" s="1812">
        <f t="shared" si="3"/>
        <v>1</v>
      </c>
      <c r="AB31" s="1812">
        <f t="shared" si="4"/>
        <v>1</v>
      </c>
      <c r="AC31" s="2671">
        <f t="shared" si="5"/>
        <v>1</v>
      </c>
    </row>
    <row r="32" spans="1:29" ht="15.75" thickBot="1">
      <c r="A32" s="436"/>
      <c r="B32" s="635">
        <v>111</v>
      </c>
      <c r="C32" s="2614"/>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05"/>
      <c r="Q32" s="1811">
        <f t="shared" si="11"/>
        <v>111</v>
      </c>
      <c r="R32" s="773" t="s">
        <v>17</v>
      </c>
      <c r="S32" s="774">
        <f t="shared" si="12"/>
        <v>100</v>
      </c>
      <c r="T32" s="773" t="s">
        <v>17</v>
      </c>
      <c r="U32" s="774">
        <f t="shared" si="13"/>
        <v>100</v>
      </c>
      <c r="V32" s="773" t="s">
        <v>17</v>
      </c>
      <c r="W32" s="774">
        <f t="shared" si="14"/>
        <v>100</v>
      </c>
      <c r="X32" s="1814"/>
      <c r="Y32" s="3207"/>
      <c r="Z32" s="1815">
        <f t="shared" si="15"/>
        <v>111</v>
      </c>
      <c r="AA32" s="1812">
        <f t="shared" si="3"/>
        <v>1</v>
      </c>
      <c r="AB32" s="1812">
        <f t="shared" si="4"/>
        <v>1</v>
      </c>
      <c r="AC32" s="2671">
        <f t="shared" si="5"/>
        <v>1</v>
      </c>
    </row>
    <row r="33" spans="1:29" ht="15">
      <c r="A33" s="440" t="s">
        <v>2554</v>
      </c>
      <c r="B33" s="71" t="s">
        <v>2684</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08" t="s">
        <v>2556</v>
      </c>
      <c r="Q33" s="1811" t="str">
        <f t="shared" si="11"/>
        <v>建筑类型</v>
      </c>
      <c r="R33" s="773" t="s">
        <v>17</v>
      </c>
      <c r="S33" s="774">
        <f t="shared" si="12"/>
        <v>100</v>
      </c>
      <c r="T33" s="773" t="s">
        <v>17</v>
      </c>
      <c r="U33" s="774">
        <f t="shared" si="13"/>
        <v>100</v>
      </c>
      <c r="V33" s="773" t="s">
        <v>17</v>
      </c>
      <c r="W33" s="774">
        <f t="shared" si="14"/>
        <v>100</v>
      </c>
      <c r="X33" s="1814"/>
      <c r="Y33" s="3211" t="s">
        <v>2556</v>
      </c>
      <c r="Z33" s="1815" t="str">
        <f t="shared" si="15"/>
        <v>建筑类型</v>
      </c>
      <c r="AA33" s="1812">
        <f t="shared" si="3"/>
        <v>1</v>
      </c>
      <c r="AB33" s="1812">
        <f t="shared" si="4"/>
        <v>1</v>
      </c>
      <c r="AC33" s="2671">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9"/>
      <c r="Q34" s="775" t="str">
        <f t="shared" si="11"/>
        <v>项目建筑规模</v>
      </c>
      <c r="R34" s="776" t="s">
        <v>17</v>
      </c>
      <c r="S34" s="777" t="e">
        <f t="shared" si="12"/>
        <v>#N/A</v>
      </c>
      <c r="T34" s="776" t="s">
        <v>17</v>
      </c>
      <c r="U34" s="777" t="e">
        <f t="shared" si="13"/>
        <v>#N/A</v>
      </c>
      <c r="V34" s="776" t="s">
        <v>17</v>
      </c>
      <c r="W34" s="777" t="e">
        <f t="shared" si="14"/>
        <v>#N/A</v>
      </c>
      <c r="X34" s="778"/>
      <c r="Y34" s="3211"/>
      <c r="Z34" s="779" t="str">
        <f t="shared" si="15"/>
        <v>项目建筑规模</v>
      </c>
      <c r="AA34" s="1812" t="e">
        <f t="shared" si="3"/>
        <v>#N/A</v>
      </c>
      <c r="AB34" s="1812" t="e">
        <f t="shared" si="4"/>
        <v>#N/A</v>
      </c>
      <c r="AC34" s="2671"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9"/>
      <c r="Q35" s="1811" t="str">
        <f t="shared" si="11"/>
        <v>建筑结构</v>
      </c>
      <c r="R35" s="773" t="s">
        <v>17</v>
      </c>
      <c r="S35" s="774">
        <f t="shared" si="12"/>
        <v>100</v>
      </c>
      <c r="T35" s="773" t="s">
        <v>17</v>
      </c>
      <c r="U35" s="774">
        <f t="shared" si="13"/>
        <v>100</v>
      </c>
      <c r="V35" s="773" t="s">
        <v>17</v>
      </c>
      <c r="W35" s="774">
        <f t="shared" si="14"/>
        <v>100</v>
      </c>
      <c r="X35" s="1814"/>
      <c r="Y35" s="3211"/>
      <c r="Z35" s="1815" t="str">
        <f t="shared" si="15"/>
        <v>建筑结构</v>
      </c>
      <c r="AA35" s="1812">
        <f t="shared" si="3"/>
        <v>1</v>
      </c>
      <c r="AB35" s="1812">
        <f t="shared" si="4"/>
        <v>1</v>
      </c>
      <c r="AC35" s="267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9"/>
      <c r="Q36" s="1811" t="str">
        <f t="shared" si="11"/>
        <v>公共部分装修</v>
      </c>
      <c r="R36" s="773" t="s">
        <v>17</v>
      </c>
      <c r="S36" s="774">
        <f t="shared" si="12"/>
        <v>100</v>
      </c>
      <c r="T36" s="773" t="s">
        <v>17</v>
      </c>
      <c r="U36" s="774">
        <f t="shared" si="13"/>
        <v>100</v>
      </c>
      <c r="V36" s="773" t="s">
        <v>17</v>
      </c>
      <c r="W36" s="774">
        <f t="shared" si="14"/>
        <v>100</v>
      </c>
      <c r="X36" s="1814"/>
      <c r="Y36" s="3211"/>
      <c r="Z36" s="1815" t="str">
        <f t="shared" si="15"/>
        <v>公共部分装修</v>
      </c>
      <c r="AA36" s="1812">
        <f t="shared" si="3"/>
        <v>1</v>
      </c>
      <c r="AB36" s="1812">
        <f t="shared" si="4"/>
        <v>1</v>
      </c>
      <c r="AC36" s="267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9"/>
      <c r="Q37" s="1811" t="str">
        <f t="shared" si="11"/>
        <v>成新度</v>
      </c>
      <c r="R37" s="773" t="s">
        <v>17</v>
      </c>
      <c r="S37" s="774" t="e">
        <f t="shared" si="12"/>
        <v>#N/A</v>
      </c>
      <c r="T37" s="773" t="s">
        <v>17</v>
      </c>
      <c r="U37" s="774" t="e">
        <f t="shared" si="13"/>
        <v>#N/A</v>
      </c>
      <c r="V37" s="773" t="s">
        <v>17</v>
      </c>
      <c r="W37" s="774" t="e">
        <f t="shared" si="14"/>
        <v>#N/A</v>
      </c>
      <c r="X37" s="1814"/>
      <c r="Y37" s="3211"/>
      <c r="Z37" s="1815" t="str">
        <f t="shared" si="15"/>
        <v>成新度</v>
      </c>
      <c r="AA37" s="1812" t="e">
        <f t="shared" si="3"/>
        <v>#N/A</v>
      </c>
      <c r="AB37" s="1812" t="e">
        <f t="shared" si="4"/>
        <v>#N/A</v>
      </c>
      <c r="AC37" s="267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9"/>
      <c r="Q38" s="1796"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6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9" t="s">
        <v>2556</v>
      </c>
      <c r="Q39" s="1811" t="str">
        <f t="shared" si="11"/>
        <v>物业管理</v>
      </c>
      <c r="R39" s="773" t="s">
        <v>17</v>
      </c>
      <c r="S39" s="774">
        <f t="shared" si="12"/>
        <v>100</v>
      </c>
      <c r="T39" s="773" t="s">
        <v>17</v>
      </c>
      <c r="U39" s="774">
        <f t="shared" si="13"/>
        <v>100</v>
      </c>
      <c r="V39" s="773" t="s">
        <v>17</v>
      </c>
      <c r="W39" s="774">
        <f t="shared" si="14"/>
        <v>100</v>
      </c>
      <c r="X39" s="1814"/>
      <c r="Y39" s="3211" t="s">
        <v>2556</v>
      </c>
      <c r="Z39" s="1815" t="str">
        <f t="shared" si="15"/>
        <v>物业管理</v>
      </c>
      <c r="AA39" s="1812">
        <f t="shared" si="3"/>
        <v>1</v>
      </c>
      <c r="AB39" s="1812">
        <f t="shared" si="4"/>
        <v>1</v>
      </c>
      <c r="AC39" s="267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9"/>
      <c r="Q40" s="1811" t="str">
        <f t="shared" si="11"/>
        <v>市政基础设施</v>
      </c>
      <c r="R40" s="773" t="s">
        <v>17</v>
      </c>
      <c r="S40" s="774">
        <f t="shared" si="12"/>
        <v>100</v>
      </c>
      <c r="T40" s="773" t="s">
        <v>17</v>
      </c>
      <c r="U40" s="774">
        <f t="shared" si="13"/>
        <v>100</v>
      </c>
      <c r="V40" s="773" t="s">
        <v>17</v>
      </c>
      <c r="W40" s="774">
        <f t="shared" si="14"/>
        <v>100</v>
      </c>
      <c r="X40" s="1814"/>
      <c r="Y40" s="3211"/>
      <c r="Z40" s="1815" t="str">
        <f t="shared" si="15"/>
        <v>市政基础设施</v>
      </c>
      <c r="AA40" s="1812">
        <f t="shared" si="3"/>
        <v>1</v>
      </c>
      <c r="AB40" s="1812">
        <f t="shared" si="4"/>
        <v>1</v>
      </c>
      <c r="AC40" s="267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9"/>
      <c r="Q41" s="1811" t="str">
        <f t="shared" si="11"/>
        <v>层高</v>
      </c>
      <c r="R41" s="773" t="s">
        <v>17</v>
      </c>
      <c r="S41" s="774">
        <f t="shared" si="12"/>
        <v>100</v>
      </c>
      <c r="T41" s="773" t="s">
        <v>17</v>
      </c>
      <c r="U41" s="774">
        <f t="shared" si="13"/>
        <v>100</v>
      </c>
      <c r="V41" s="773" t="s">
        <v>17</v>
      </c>
      <c r="W41" s="774">
        <f t="shared" si="14"/>
        <v>100</v>
      </c>
      <c r="X41" s="1814"/>
      <c r="Y41" s="3211"/>
      <c r="Z41" s="1815" t="str">
        <f t="shared" si="15"/>
        <v>层高</v>
      </c>
      <c r="AA41" s="1812">
        <f t="shared" si="3"/>
        <v>1</v>
      </c>
      <c r="AB41" s="1812">
        <f t="shared" si="4"/>
        <v>1</v>
      </c>
      <c r="AC41" s="2671">
        <f t="shared" si="5"/>
        <v>1</v>
      </c>
    </row>
    <row r="42" spans="1:29" s="471" customFormat="1" ht="15">
      <c r="A42" s="468"/>
      <c r="B42" s="1813"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12">
        <f t="shared" si="3"/>
        <v>1</v>
      </c>
      <c r="AB42" s="1812">
        <f t="shared" si="4"/>
        <v>1</v>
      </c>
      <c r="AC42" s="267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9"/>
      <c r="Q43" s="1811" t="str">
        <f t="shared" si="11"/>
        <v>内部装修</v>
      </c>
      <c r="R43" s="773" t="s">
        <v>17</v>
      </c>
      <c r="S43" s="774">
        <f t="shared" si="12"/>
        <v>100</v>
      </c>
      <c r="T43" s="773" t="s">
        <v>17</v>
      </c>
      <c r="U43" s="774">
        <f t="shared" si="13"/>
        <v>100</v>
      </c>
      <c r="V43" s="773" t="s">
        <v>17</v>
      </c>
      <c r="W43" s="774">
        <f t="shared" si="14"/>
        <v>100</v>
      </c>
      <c r="X43" s="1814"/>
      <c r="Y43" s="3211"/>
      <c r="Z43" s="1815" t="str">
        <f t="shared" si="15"/>
        <v>内部装修</v>
      </c>
      <c r="AA43" s="1812">
        <f t="shared" si="3"/>
        <v>1</v>
      </c>
      <c r="AB43" s="1812">
        <f t="shared" si="4"/>
        <v>1</v>
      </c>
      <c r="AC43" s="2671">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2"/>
      <c r="M44" s="1133"/>
      <c r="N44" s="1133"/>
      <c r="O44" s="1133"/>
      <c r="P44" s="3209"/>
      <c r="Q44" s="1811" t="str">
        <f t="shared" si="11"/>
        <v>内部装修维护情况</v>
      </c>
      <c r="R44" s="773" t="s">
        <v>17</v>
      </c>
      <c r="S44" s="774">
        <f t="shared" si="12"/>
        <v>100</v>
      </c>
      <c r="T44" s="773" t="s">
        <v>17</v>
      </c>
      <c r="U44" s="774">
        <f t="shared" si="13"/>
        <v>100</v>
      </c>
      <c r="V44" s="773" t="s">
        <v>17</v>
      </c>
      <c r="W44" s="774">
        <f t="shared" si="14"/>
        <v>100</v>
      </c>
      <c r="X44" s="1814"/>
      <c r="Y44" s="3211"/>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9"/>
      <c r="Q45" s="1796">
        <f t="shared" si="11"/>
        <v>111</v>
      </c>
      <c r="R45" s="769" t="s">
        <v>17</v>
      </c>
      <c r="S45" s="770">
        <f t="shared" si="12"/>
        <v>100</v>
      </c>
      <c r="T45" s="769" t="s">
        <v>17</v>
      </c>
      <c r="U45" s="770">
        <f t="shared" si="13"/>
        <v>100</v>
      </c>
      <c r="V45" s="769" t="s">
        <v>17</v>
      </c>
      <c r="W45" s="770">
        <f t="shared" si="14"/>
        <v>100</v>
      </c>
      <c r="X45" s="771"/>
      <c r="Y45" s="3211"/>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9"/>
      <c r="Q46" s="1811">
        <f t="shared" si="11"/>
        <v>111</v>
      </c>
      <c r="R46" s="773" t="s">
        <v>17</v>
      </c>
      <c r="S46" s="774">
        <f t="shared" si="12"/>
        <v>100</v>
      </c>
      <c r="T46" s="773" t="s">
        <v>17</v>
      </c>
      <c r="U46" s="774">
        <f t="shared" si="13"/>
        <v>100</v>
      </c>
      <c r="V46" s="773" t="s">
        <v>17</v>
      </c>
      <c r="W46" s="774">
        <f t="shared" si="14"/>
        <v>100</v>
      </c>
      <c r="X46" s="1814"/>
      <c r="Y46" s="3211"/>
      <c r="Z46" s="1815">
        <f t="shared" si="15"/>
        <v>111</v>
      </c>
      <c r="AA46" s="1812">
        <f t="shared" si="3"/>
        <v>1</v>
      </c>
      <c r="AB46" s="1812">
        <f t="shared" si="4"/>
        <v>1</v>
      </c>
      <c r="AC46" s="2671">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0"/>
      <c r="Q47" s="1811">
        <f t="shared" si="11"/>
        <v>111</v>
      </c>
      <c r="R47" s="773" t="s">
        <v>17</v>
      </c>
      <c r="S47" s="774">
        <f t="shared" si="12"/>
        <v>100</v>
      </c>
      <c r="T47" s="773" t="s">
        <v>17</v>
      </c>
      <c r="U47" s="774">
        <f t="shared" si="13"/>
        <v>100</v>
      </c>
      <c r="V47" s="773" t="s">
        <v>17</v>
      </c>
      <c r="W47" s="774">
        <f t="shared" si="14"/>
        <v>100</v>
      </c>
      <c r="X47" s="1814"/>
      <c r="Y47" s="3212"/>
      <c r="Z47" s="1815">
        <f t="shared" si="15"/>
        <v>111</v>
      </c>
      <c r="AA47" s="1812">
        <f t="shared" si="3"/>
        <v>1</v>
      </c>
      <c r="AB47" s="1812">
        <f t="shared" si="4"/>
        <v>1</v>
      </c>
      <c r="AC47" s="2671">
        <f t="shared" si="5"/>
        <v>1</v>
      </c>
    </row>
    <row r="48" spans="1:29" ht="15">
      <c r="A48" s="479" t="s">
        <v>2568</v>
      </c>
      <c r="B48" s="480"/>
      <c r="C48" s="1409" t="s">
        <v>1</v>
      </c>
      <c r="D48" s="1410"/>
      <c r="E48" s="1411"/>
      <c r="F48" s="1412"/>
      <c r="G48" s="1413"/>
      <c r="H48" s="1414"/>
      <c r="I48" s="1411"/>
      <c r="J48" s="485"/>
      <c r="K48" s="782"/>
      <c r="L48" s="1145"/>
      <c r="M48" s="1133"/>
      <c r="N48" s="1133"/>
      <c r="O48" s="1133"/>
      <c r="P48" s="3190" t="str">
        <f>A48</f>
        <v>成交单价（元/平方米）</v>
      </c>
      <c r="Q48" s="3213"/>
      <c r="R48" s="3214">
        <f>E48</f>
        <v>0</v>
      </c>
      <c r="S48" s="3214"/>
      <c r="T48" s="3214">
        <f>G48</f>
        <v>0</v>
      </c>
      <c r="U48" s="3214"/>
      <c r="V48" s="3214">
        <f>I48</f>
        <v>0</v>
      </c>
      <c r="W48" s="3214"/>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90"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78"/>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2579</v>
      </c>
      <c r="B64" s="528" t="s">
        <v>2545</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2690</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2554</v>
      </c>
      <c r="B101" s="528" t="s">
        <v>2603</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2605</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2607</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2608</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2609</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2692</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2611</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6" t="s">
        <v>2693</v>
      </c>
      <c r="C1" s="1622" t="s">
        <v>2521</v>
      </c>
      <c r="D1" s="1623"/>
      <c r="E1" s="1632"/>
      <c r="F1" s="2582"/>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4"/>
      <c r="D2" s="1126"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582.44000000000005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3" t="s">
        <v>2639</v>
      </c>
      <c r="AC4" s="3172" t="s">
        <v>2640</v>
      </c>
    </row>
    <row r="5" spans="1:29" ht="15">
      <c r="A5" s="404"/>
      <c r="B5" s="405"/>
      <c r="C5" s="3240" t="s">
        <v>2533</v>
      </c>
      <c r="D5" s="3241"/>
      <c r="E5" s="3259" t="s">
        <v>2534</v>
      </c>
      <c r="F5" s="3260"/>
      <c r="G5" s="3240" t="s">
        <v>2535</v>
      </c>
      <c r="H5" s="3241"/>
      <c r="I5" s="3240" t="s">
        <v>2536</v>
      </c>
      <c r="J5" s="3241"/>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242" t="s">
        <v>2537</v>
      </c>
      <c r="D6" s="3243"/>
      <c r="E6" s="3244" t="s">
        <v>2537</v>
      </c>
      <c r="F6" s="3245"/>
      <c r="G6" s="3242" t="s">
        <v>2537</v>
      </c>
      <c r="H6" s="3243"/>
      <c r="I6" s="3242" t="s">
        <v>2537</v>
      </c>
      <c r="J6" s="3243"/>
      <c r="K6" s="610" t="s">
        <v>2538</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6" t="s">
        <v>2540</v>
      </c>
      <c r="Q7" s="3203"/>
      <c r="R7" s="769" t="s">
        <v>17</v>
      </c>
      <c r="S7" s="770">
        <f t="shared" ref="S7:S15" si="0">F7</f>
        <v>0</v>
      </c>
      <c r="T7" s="769" t="s">
        <v>17</v>
      </c>
      <c r="U7" s="770">
        <f t="shared" ref="U7:U15" si="1">H7</f>
        <v>0</v>
      </c>
      <c r="V7" s="769" t="s">
        <v>17</v>
      </c>
      <c r="W7" s="770">
        <f t="shared" ref="W7:W15" si="2">J7</f>
        <v>0</v>
      </c>
      <c r="X7" s="771"/>
      <c r="Y7" s="3176" t="s">
        <v>2540</v>
      </c>
      <c r="Z7" s="3177"/>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6" t="s">
        <v>2543</v>
      </c>
      <c r="Q8" s="3177"/>
      <c r="R8" s="769" t="s">
        <v>17</v>
      </c>
      <c r="S8" s="770">
        <f t="shared" si="0"/>
        <v>0</v>
      </c>
      <c r="T8" s="769" t="s">
        <v>17</v>
      </c>
      <c r="U8" s="770">
        <f t="shared" si="1"/>
        <v>0</v>
      </c>
      <c r="V8" s="769" t="s">
        <v>17</v>
      </c>
      <c r="W8" s="770">
        <f t="shared" si="2"/>
        <v>0</v>
      </c>
      <c r="X8" s="771"/>
      <c r="Y8" s="3176" t="s">
        <v>2543</v>
      </c>
      <c r="Z8" s="3177"/>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3"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3"/>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3"/>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3"/>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3"/>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3"/>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2550</v>
      </c>
      <c r="B15" s="69" t="s">
        <v>2694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6" t="s">
        <v>2551</v>
      </c>
      <c r="Q15" s="1811" t="str">
        <f t="shared" si="6"/>
        <v>产业集聚程度</v>
      </c>
      <c r="R15" s="773" t="s">
        <v>17</v>
      </c>
      <c r="S15" s="774">
        <f t="shared" si="0"/>
        <v>100</v>
      </c>
      <c r="T15" s="773" t="s">
        <v>17</v>
      </c>
      <c r="U15" s="774">
        <f t="shared" si="1"/>
        <v>100</v>
      </c>
      <c r="V15" s="773" t="s">
        <v>17</v>
      </c>
      <c r="W15" s="774">
        <f t="shared" si="2"/>
        <v>100</v>
      </c>
      <c r="X15" s="1814"/>
      <c r="Y15" s="3206" t="s">
        <v>2551</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7"/>
      <c r="Q16" s="1811"/>
      <c r="R16" s="773"/>
      <c r="S16" s="774"/>
      <c r="T16" s="773"/>
      <c r="U16" s="774"/>
      <c r="V16" s="773"/>
      <c r="W16" s="774"/>
      <c r="X16" s="1814"/>
      <c r="Y16" s="3207"/>
      <c r="Z16" s="1815"/>
      <c r="AA16" s="1812">
        <v>1</v>
      </c>
      <c r="AB16" s="1812">
        <v>1</v>
      </c>
      <c r="AC16" s="1812">
        <v>1</v>
      </c>
    </row>
    <row r="17" spans="1:29" ht="15">
      <c r="A17" s="428"/>
      <c r="B17" s="451" t="s">
        <v>2090</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7"/>
      <c r="Q17" s="1811" t="str">
        <f>B17</f>
        <v>交通便捷度</v>
      </c>
      <c r="R17" s="773" t="s">
        <v>17</v>
      </c>
      <c r="S17" s="774">
        <f>F17</f>
        <v>100</v>
      </c>
      <c r="T17" s="773" t="s">
        <v>17</v>
      </c>
      <c r="U17" s="774">
        <f>H17</f>
        <v>100</v>
      </c>
      <c r="V17" s="773" t="s">
        <v>17</v>
      </c>
      <c r="W17" s="774">
        <f>J17</f>
        <v>100</v>
      </c>
      <c r="X17" s="1814"/>
      <c r="Y17" s="3207"/>
      <c r="Z17" s="1815" t="str">
        <f>Q17</f>
        <v>交通便捷度</v>
      </c>
      <c r="AA17" s="1812">
        <f t="shared" si="3"/>
        <v>1</v>
      </c>
      <c r="AB17" s="1812">
        <f t="shared" si="4"/>
        <v>1</v>
      </c>
      <c r="AC17" s="1812">
        <f t="shared" si="5"/>
        <v>1</v>
      </c>
    </row>
    <row r="18" spans="1:29" ht="15">
      <c r="A18" s="428"/>
      <c r="B18" s="456"/>
      <c r="C18" s="2606"/>
      <c r="D18" s="450"/>
      <c r="E18" s="2608"/>
      <c r="F18" s="453"/>
      <c r="G18" s="2607"/>
      <c r="H18" s="448"/>
      <c r="I18" s="2608"/>
      <c r="J18" s="448"/>
      <c r="K18" s="615"/>
      <c r="L18" s="1142"/>
      <c r="M18" s="1133"/>
      <c r="N18" s="1133"/>
      <c r="O18" s="1141"/>
      <c r="P18" s="3207"/>
      <c r="Q18" s="1811"/>
      <c r="R18" s="773"/>
      <c r="S18" s="774"/>
      <c r="T18" s="773"/>
      <c r="U18" s="774"/>
      <c r="V18" s="773"/>
      <c r="W18" s="774"/>
      <c r="X18" s="1814"/>
      <c r="Y18" s="3207"/>
      <c r="Z18" s="1815"/>
      <c r="AA18" s="1812">
        <v>1</v>
      </c>
      <c r="AB18" s="1812">
        <v>1</v>
      </c>
      <c r="AC18" s="1812">
        <v>1</v>
      </c>
    </row>
    <row r="19" spans="1:29" ht="1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7"/>
      <c r="Q19" s="1811" t="str">
        <f>B19</f>
        <v>公共配套设施</v>
      </c>
      <c r="R19" s="773" t="s">
        <v>17</v>
      </c>
      <c r="S19" s="774">
        <f>F19</f>
        <v>100</v>
      </c>
      <c r="T19" s="773" t="s">
        <v>17</v>
      </c>
      <c r="U19" s="774">
        <f>H19</f>
        <v>100</v>
      </c>
      <c r="V19" s="773" t="s">
        <v>17</v>
      </c>
      <c r="W19" s="774">
        <f>J19</f>
        <v>100</v>
      </c>
      <c r="X19" s="1814"/>
      <c r="Y19" s="3207"/>
      <c r="Z19" s="1815" t="str">
        <f>Q19</f>
        <v>公共配套设施</v>
      </c>
      <c r="AA19" s="1812">
        <f t="shared" si="3"/>
        <v>1</v>
      </c>
      <c r="AB19" s="1812">
        <f t="shared" si="4"/>
        <v>1</v>
      </c>
      <c r="AC19" s="1812">
        <f t="shared" si="5"/>
        <v>1</v>
      </c>
    </row>
    <row r="20" spans="1:29" ht="15">
      <c r="A20" s="428"/>
      <c r="B20" s="456"/>
      <c r="C20" s="447"/>
      <c r="D20" s="448"/>
      <c r="E20" s="2603"/>
      <c r="F20" s="449"/>
      <c r="G20" s="2602"/>
      <c r="H20" s="448"/>
      <c r="I20" s="2603"/>
      <c r="J20" s="448"/>
      <c r="K20" s="615"/>
      <c r="L20" s="1142"/>
      <c r="M20" s="1133"/>
      <c r="N20" s="1133"/>
      <c r="O20" s="1141"/>
      <c r="P20" s="3207"/>
      <c r="Q20" s="1811"/>
      <c r="R20" s="773"/>
      <c r="S20" s="774"/>
      <c r="T20" s="773"/>
      <c r="U20" s="774"/>
      <c r="V20" s="773"/>
      <c r="W20" s="774"/>
      <c r="X20" s="1814"/>
      <c r="Y20" s="3207"/>
      <c r="Z20" s="1815"/>
      <c r="AA20" s="1812">
        <v>1</v>
      </c>
      <c r="AB20" s="1812">
        <v>1</v>
      </c>
      <c r="AC20" s="1812">
        <v>1</v>
      </c>
    </row>
    <row r="21" spans="1:29" ht="15">
      <c r="A21" s="428"/>
      <c r="B21" s="1386"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7"/>
      <c r="Q21" s="1811" t="str">
        <f>B21</f>
        <v>基础设施水平</v>
      </c>
      <c r="R21" s="773" t="s">
        <v>17</v>
      </c>
      <c r="S21" s="774">
        <f>F21</f>
        <v>100</v>
      </c>
      <c r="T21" s="773" t="s">
        <v>17</v>
      </c>
      <c r="U21" s="774">
        <f>H21</f>
        <v>100</v>
      </c>
      <c r="V21" s="773" t="s">
        <v>17</v>
      </c>
      <c r="W21" s="774">
        <f>J21</f>
        <v>100</v>
      </c>
      <c r="X21" s="1814"/>
      <c r="Y21" s="3207"/>
      <c r="Z21" s="1815" t="str">
        <f>Q21</f>
        <v>基础设施水平</v>
      </c>
      <c r="AA21" s="1812">
        <f t="shared" ref="AA21" si="8">D21/F21</f>
        <v>1</v>
      </c>
      <c r="AB21" s="1812">
        <f t="shared" ref="AB21" si="9">D21/H21</f>
        <v>1</v>
      </c>
      <c r="AC21" s="1812">
        <f t="shared" ref="AC21" si="10">D21/J21</f>
        <v>1</v>
      </c>
    </row>
    <row r="22" spans="1:29" ht="15">
      <c r="A22" s="428"/>
      <c r="B22" s="1386"/>
      <c r="C22" s="2606"/>
      <c r="D22" s="448"/>
      <c r="E22" s="447"/>
      <c r="F22" s="449"/>
      <c r="G22" s="447"/>
      <c r="H22" s="448"/>
      <c r="I22" s="447"/>
      <c r="J22" s="448"/>
      <c r="K22" s="1385"/>
      <c r="L22" s="1142"/>
      <c r="M22" s="1133"/>
      <c r="N22" s="1133"/>
      <c r="O22" s="1141"/>
      <c r="P22" s="3207"/>
      <c r="Q22" s="1811"/>
      <c r="R22" s="773"/>
      <c r="S22" s="774"/>
      <c r="T22" s="773"/>
      <c r="U22" s="774"/>
      <c r="V22" s="773"/>
      <c r="W22" s="774"/>
      <c r="X22" s="1814"/>
      <c r="Y22" s="3207"/>
      <c r="Z22" s="1815"/>
      <c r="AA22" s="1812">
        <v>1</v>
      </c>
      <c r="AB22" s="1812">
        <v>1</v>
      </c>
      <c r="AC22" s="1812">
        <v>1</v>
      </c>
    </row>
    <row r="23" spans="1:29" ht="1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7"/>
      <c r="Q23" s="1811" t="str">
        <f>B23</f>
        <v>环境质量</v>
      </c>
      <c r="R23" s="773" t="s">
        <v>17</v>
      </c>
      <c r="S23" s="774">
        <f>F23</f>
        <v>100</v>
      </c>
      <c r="T23" s="773" t="s">
        <v>17</v>
      </c>
      <c r="U23" s="774">
        <f>H23</f>
        <v>100</v>
      </c>
      <c r="V23" s="773" t="s">
        <v>17</v>
      </c>
      <c r="W23" s="774">
        <f>J23</f>
        <v>100</v>
      </c>
      <c r="X23" s="1814"/>
      <c r="Y23" s="3207"/>
      <c r="Z23" s="1815" t="str">
        <f>Q23</f>
        <v>环境质量</v>
      </c>
      <c r="AA23" s="1812">
        <f t="shared" si="3"/>
        <v>1</v>
      </c>
      <c r="AB23" s="1812">
        <f t="shared" si="4"/>
        <v>1</v>
      </c>
      <c r="AC23" s="1812">
        <f t="shared" si="5"/>
        <v>1</v>
      </c>
    </row>
    <row r="24" spans="1:29" ht="15">
      <c r="A24" s="428"/>
      <c r="B24" s="1386"/>
      <c r="C24" s="447"/>
      <c r="D24" s="448"/>
      <c r="E24" s="2603"/>
      <c r="F24" s="449"/>
      <c r="G24" s="2602"/>
      <c r="H24" s="448"/>
      <c r="I24" s="2603"/>
      <c r="J24" s="448"/>
      <c r="K24" s="615"/>
      <c r="L24" s="1142"/>
      <c r="M24" s="1133"/>
      <c r="N24" s="1133"/>
      <c r="O24" s="1141"/>
      <c r="P24" s="3207"/>
      <c r="Q24" s="1811"/>
      <c r="R24" s="773"/>
      <c r="S24" s="774"/>
      <c r="T24" s="773"/>
      <c r="U24" s="774"/>
      <c r="V24" s="773"/>
      <c r="W24" s="774"/>
      <c r="X24" s="1814"/>
      <c r="Y24" s="3207"/>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7"/>
      <c r="Q25" s="1811">
        <f>B25</f>
        <v>111</v>
      </c>
      <c r="R25" s="773" t="s">
        <v>17</v>
      </c>
      <c r="S25" s="774">
        <f>F25</f>
        <v>100</v>
      </c>
      <c r="T25" s="773" t="s">
        <v>17</v>
      </c>
      <c r="U25" s="774">
        <f>H25</f>
        <v>100</v>
      </c>
      <c r="V25" s="773" t="s">
        <v>17</v>
      </c>
      <c r="W25" s="774">
        <f>J25</f>
        <v>100</v>
      </c>
      <c r="X25" s="1814"/>
      <c r="Y25" s="3207"/>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7"/>
      <c r="Q26" s="1811">
        <f t="shared" ref="Q26:Q40" si="11">B26</f>
        <v>111</v>
      </c>
      <c r="R26" s="773" t="s">
        <v>17</v>
      </c>
      <c r="S26" s="774">
        <f>F26</f>
        <v>100</v>
      </c>
      <c r="T26" s="773" t="s">
        <v>17</v>
      </c>
      <c r="U26" s="774">
        <f>H26</f>
        <v>100</v>
      </c>
      <c r="V26" s="773" t="s">
        <v>17</v>
      </c>
      <c r="W26" s="774">
        <f>J26</f>
        <v>100</v>
      </c>
      <c r="X26" s="1814"/>
      <c r="Y26" s="3207"/>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7"/>
      <c r="Q27" s="1796">
        <f t="shared" si="11"/>
        <v>111</v>
      </c>
      <c r="R27" s="769" t="s">
        <v>17</v>
      </c>
      <c r="S27" s="770">
        <f>F27</f>
        <v>100</v>
      </c>
      <c r="T27" s="769" t="s">
        <v>17</v>
      </c>
      <c r="U27" s="770">
        <f>H27</f>
        <v>100</v>
      </c>
      <c r="V27" s="769" t="s">
        <v>17</v>
      </c>
      <c r="W27" s="770">
        <f>J27</f>
        <v>100</v>
      </c>
      <c r="X27" s="771"/>
      <c r="Y27" s="3207"/>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7"/>
      <c r="Q28" s="1811">
        <f t="shared" si="11"/>
        <v>111</v>
      </c>
      <c r="R28" s="773" t="s">
        <v>17</v>
      </c>
      <c r="S28" s="774">
        <f t="shared" ref="S28:S40" si="12">F28</f>
        <v>100</v>
      </c>
      <c r="T28" s="773" t="s">
        <v>17</v>
      </c>
      <c r="U28" s="774">
        <f t="shared" ref="U28:U40" si="13">H28</f>
        <v>100</v>
      </c>
      <c r="V28" s="773" t="s">
        <v>17</v>
      </c>
      <c r="W28" s="774">
        <f t="shared" ref="W28:W40" si="14">J28</f>
        <v>100</v>
      </c>
      <c r="X28" s="1814"/>
      <c r="Y28" s="3207"/>
      <c r="Z28" s="1815">
        <f t="shared" ref="Z28:Z40" si="15">Q28</f>
        <v>111</v>
      </c>
      <c r="AA28" s="1812">
        <f t="shared" si="3"/>
        <v>1</v>
      </c>
      <c r="AB28" s="1812">
        <f t="shared" si="4"/>
        <v>1</v>
      </c>
      <c r="AC28" s="1812">
        <f t="shared" si="5"/>
        <v>1</v>
      </c>
    </row>
    <row r="29" spans="1:29" ht="1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73" t="s">
        <v>2556</v>
      </c>
      <c r="Q29" s="1811" t="str">
        <f t="shared" si="11"/>
        <v>建筑类型</v>
      </c>
      <c r="R29" s="773" t="s">
        <v>17</v>
      </c>
      <c r="S29" s="774">
        <f t="shared" si="12"/>
        <v>100</v>
      </c>
      <c r="T29" s="773" t="s">
        <v>17</v>
      </c>
      <c r="U29" s="774">
        <f t="shared" si="13"/>
        <v>100</v>
      </c>
      <c r="V29" s="773" t="s">
        <v>17</v>
      </c>
      <c r="W29" s="774">
        <f t="shared" si="14"/>
        <v>100</v>
      </c>
      <c r="X29" s="1814"/>
      <c r="Y29" s="3211" t="s">
        <v>2556</v>
      </c>
      <c r="Z29" s="1815" t="str">
        <f t="shared" si="15"/>
        <v>建筑类型</v>
      </c>
      <c r="AA29" s="1812">
        <f t="shared" si="3"/>
        <v>1</v>
      </c>
      <c r="AB29" s="1812">
        <f t="shared" si="4"/>
        <v>1</v>
      </c>
      <c r="AC29" s="1812">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12" t="e">
        <f t="shared" si="3"/>
        <v>#N/A</v>
      </c>
      <c r="AB30" s="1812" t="e">
        <f t="shared" si="4"/>
        <v>#N/A</v>
      </c>
      <c r="AC30" s="1812"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1"/>
      <c r="Q31" s="1811" t="str">
        <f t="shared" si="11"/>
        <v>建筑结构</v>
      </c>
      <c r="R31" s="773" t="s">
        <v>17</v>
      </c>
      <c r="S31" s="774">
        <f t="shared" si="12"/>
        <v>100</v>
      </c>
      <c r="T31" s="773" t="s">
        <v>17</v>
      </c>
      <c r="U31" s="774">
        <f t="shared" si="13"/>
        <v>100</v>
      </c>
      <c r="V31" s="773" t="s">
        <v>17</v>
      </c>
      <c r="W31" s="774">
        <f t="shared" si="14"/>
        <v>100</v>
      </c>
      <c r="X31" s="1814"/>
      <c r="Y31" s="3211"/>
      <c r="Z31" s="1815" t="str">
        <f t="shared" si="15"/>
        <v>建筑结构</v>
      </c>
      <c r="AA31" s="1812">
        <f t="shared" si="3"/>
        <v>1</v>
      </c>
      <c r="AB31" s="1812">
        <f t="shared" si="4"/>
        <v>1</v>
      </c>
      <c r="AC31" s="1812">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1"/>
      <c r="Q32" s="1811" t="str">
        <f t="shared" si="11"/>
        <v>公共部分装修</v>
      </c>
      <c r="R32" s="773" t="s">
        <v>17</v>
      </c>
      <c r="S32" s="774">
        <f t="shared" si="12"/>
        <v>100</v>
      </c>
      <c r="T32" s="773" t="s">
        <v>17</v>
      </c>
      <c r="U32" s="774">
        <f t="shared" si="13"/>
        <v>100</v>
      </c>
      <c r="V32" s="773" t="s">
        <v>17</v>
      </c>
      <c r="W32" s="774">
        <f t="shared" si="14"/>
        <v>100</v>
      </c>
      <c r="X32" s="1814"/>
      <c r="Y32" s="3211"/>
      <c r="Z32" s="1815" t="str">
        <f t="shared" si="15"/>
        <v>公共部分装修</v>
      </c>
      <c r="AA32" s="1812">
        <f t="shared" si="3"/>
        <v>1</v>
      </c>
      <c r="AB32" s="1812">
        <f t="shared" si="4"/>
        <v>1</v>
      </c>
      <c r="AC32" s="1812">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1"/>
      <c r="Q33" s="1811" t="str">
        <f t="shared" si="11"/>
        <v>成新度</v>
      </c>
      <c r="R33" s="773" t="s">
        <v>17</v>
      </c>
      <c r="S33" s="774" t="e">
        <f t="shared" si="12"/>
        <v>#N/A</v>
      </c>
      <c r="T33" s="773" t="s">
        <v>17</v>
      </c>
      <c r="U33" s="774" t="e">
        <f t="shared" si="13"/>
        <v>#N/A</v>
      </c>
      <c r="V33" s="773" t="s">
        <v>17</v>
      </c>
      <c r="W33" s="774" t="e">
        <f t="shared" si="14"/>
        <v>#N/A</v>
      </c>
      <c r="X33" s="1814"/>
      <c r="Y33" s="3211"/>
      <c r="Z33" s="1815" t="str">
        <f t="shared" si="15"/>
        <v>成新度</v>
      </c>
      <c r="AA33" s="1812" t="e">
        <f t="shared" si="3"/>
        <v>#N/A</v>
      </c>
      <c r="AB33" s="1812" t="e">
        <f t="shared" si="4"/>
        <v>#N/A</v>
      </c>
      <c r="AC33" s="1812"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1"/>
      <c r="Q34" s="1796"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1" t="s">
        <v>2556</v>
      </c>
      <c r="Q35" s="1811" t="str">
        <f t="shared" si="11"/>
        <v>市政基础设施</v>
      </c>
      <c r="R35" s="773" t="s">
        <v>17</v>
      </c>
      <c r="S35" s="774">
        <f t="shared" si="12"/>
        <v>100</v>
      </c>
      <c r="T35" s="773" t="s">
        <v>17</v>
      </c>
      <c r="U35" s="774">
        <f t="shared" si="13"/>
        <v>100</v>
      </c>
      <c r="V35" s="773" t="s">
        <v>17</v>
      </c>
      <c r="W35" s="774">
        <f t="shared" si="14"/>
        <v>100</v>
      </c>
      <c r="X35" s="1814"/>
      <c r="Y35" s="3211" t="s">
        <v>2556</v>
      </c>
      <c r="Z35" s="1815" t="str">
        <f t="shared" si="15"/>
        <v>市政基础设施</v>
      </c>
      <c r="AA35" s="1812">
        <f t="shared" si="3"/>
        <v>1</v>
      </c>
      <c r="AB35" s="1812">
        <f t="shared" si="4"/>
        <v>1</v>
      </c>
      <c r="AC35" s="1812">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1"/>
      <c r="Q36" s="1811" t="str">
        <f t="shared" si="11"/>
        <v>内部装修</v>
      </c>
      <c r="R36" s="773" t="s">
        <v>17</v>
      </c>
      <c r="S36" s="774">
        <f t="shared" si="12"/>
        <v>100</v>
      </c>
      <c r="T36" s="773" t="s">
        <v>17</v>
      </c>
      <c r="U36" s="774">
        <f t="shared" si="13"/>
        <v>100</v>
      </c>
      <c r="V36" s="773" t="s">
        <v>17</v>
      </c>
      <c r="W36" s="774">
        <f t="shared" si="14"/>
        <v>100</v>
      </c>
      <c r="X36" s="1814"/>
      <c r="Y36" s="3211"/>
      <c r="Z36" s="1815" t="str">
        <f t="shared" si="15"/>
        <v>内部装修</v>
      </c>
      <c r="AA36" s="1812">
        <f t="shared" si="3"/>
        <v>1</v>
      </c>
      <c r="AB36" s="1812">
        <f t="shared" si="4"/>
        <v>1</v>
      </c>
      <c r="AC36" s="1812">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1"/>
      <c r="Q37" s="1811" t="str">
        <f t="shared" si="11"/>
        <v>内部装修状况</v>
      </c>
      <c r="R37" s="773" t="s">
        <v>17</v>
      </c>
      <c r="S37" s="774">
        <f t="shared" si="12"/>
        <v>100</v>
      </c>
      <c r="T37" s="773" t="s">
        <v>17</v>
      </c>
      <c r="U37" s="774">
        <f t="shared" si="13"/>
        <v>100</v>
      </c>
      <c r="V37" s="773" t="s">
        <v>17</v>
      </c>
      <c r="W37" s="774">
        <f t="shared" si="14"/>
        <v>100</v>
      </c>
      <c r="X37" s="1814"/>
      <c r="Y37" s="3211"/>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1"/>
      <c r="Q39" s="1811">
        <f t="shared" si="11"/>
        <v>111</v>
      </c>
      <c r="R39" s="773" t="s">
        <v>17</v>
      </c>
      <c r="S39" s="774">
        <f t="shared" si="12"/>
        <v>100</v>
      </c>
      <c r="T39" s="773" t="s">
        <v>17</v>
      </c>
      <c r="U39" s="774">
        <f t="shared" si="13"/>
        <v>100</v>
      </c>
      <c r="V39" s="773" t="s">
        <v>17</v>
      </c>
      <c r="W39" s="774">
        <f t="shared" si="14"/>
        <v>100</v>
      </c>
      <c r="X39" s="1814"/>
      <c r="Y39" s="3211"/>
      <c r="Z39" s="1815">
        <f t="shared" si="15"/>
        <v>111</v>
      </c>
      <c r="AA39" s="1812">
        <f t="shared" si="3"/>
        <v>1</v>
      </c>
      <c r="AB39" s="1812">
        <f t="shared" si="4"/>
        <v>1</v>
      </c>
      <c r="AC39" s="1812">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2"/>
      <c r="Q40" s="1811">
        <f t="shared" si="11"/>
        <v>111</v>
      </c>
      <c r="R40" s="773" t="s">
        <v>17</v>
      </c>
      <c r="S40" s="774">
        <f t="shared" si="12"/>
        <v>100</v>
      </c>
      <c r="T40" s="773" t="s">
        <v>17</v>
      </c>
      <c r="U40" s="774">
        <f t="shared" si="13"/>
        <v>100</v>
      </c>
      <c r="V40" s="773" t="s">
        <v>17</v>
      </c>
      <c r="W40" s="774">
        <f t="shared" si="14"/>
        <v>100</v>
      </c>
      <c r="X40" s="1814"/>
      <c r="Y40" s="3212"/>
      <c r="Z40" s="1815">
        <f t="shared" si="15"/>
        <v>111</v>
      </c>
      <c r="AA40" s="1812">
        <f t="shared" si="3"/>
        <v>1</v>
      </c>
      <c r="AB40" s="1812">
        <f t="shared" si="4"/>
        <v>1</v>
      </c>
      <c r="AC40" s="1812">
        <f t="shared" si="5"/>
        <v>1</v>
      </c>
    </row>
    <row r="41" spans="1:29" ht="15">
      <c r="A41" s="479" t="s">
        <v>2568</v>
      </c>
      <c r="B41" s="480"/>
      <c r="C41" s="1409" t="s">
        <v>1</v>
      </c>
      <c r="D41" s="1410"/>
      <c r="E41" s="1411"/>
      <c r="F41" s="1412"/>
      <c r="G41" s="1413"/>
      <c r="H41" s="1414"/>
      <c r="I41" s="1411"/>
      <c r="J41" s="1414"/>
      <c r="K41" s="782"/>
      <c r="L41" s="1145"/>
      <c r="M41" s="1146"/>
      <c r="N41" s="1133"/>
      <c r="O41" s="1146"/>
      <c r="P41" s="3213" t="str">
        <f>A41</f>
        <v>成交单价（元/平方米）</v>
      </c>
      <c r="Q41" s="3213"/>
      <c r="R41" s="3214">
        <f>E41</f>
        <v>0</v>
      </c>
      <c r="S41" s="3214"/>
      <c r="T41" s="3214">
        <f>G41</f>
        <v>0</v>
      </c>
      <c r="U41" s="3214"/>
      <c r="V41" s="3214">
        <f>I41</f>
        <v>0</v>
      </c>
      <c r="W41" s="3214"/>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215" t="str">
        <f>A43</f>
        <v>估价对象XX用房的比较价值（楼面单价，元/平方米）</v>
      </c>
      <c r="Q43" s="3216"/>
      <c r="R43" s="3217" t="e">
        <f>IF(F1="售价",ROUND(AVERAGE(R42:V42),0),ROUND(AVERAGE(R42:V42),1))</f>
        <v>#DIV/0!</v>
      </c>
      <c r="S43" s="3217"/>
      <c r="T43" s="3217"/>
      <c r="U43" s="3217"/>
      <c r="V43" s="3217"/>
      <c r="W43" s="321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2"/>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3" t="s">
        <v>2639</v>
      </c>
      <c r="AC4" s="3172" t="s">
        <v>2640</v>
      </c>
    </row>
    <row r="5" spans="1:29" ht="15">
      <c r="A5" s="404"/>
      <c r="B5" s="405"/>
      <c r="C5" s="3240" t="s">
        <v>2533</v>
      </c>
      <c r="D5" s="3241"/>
      <c r="E5" s="3259" t="s">
        <v>2534</v>
      </c>
      <c r="F5" s="3260"/>
      <c r="G5" s="3240" t="s">
        <v>2535</v>
      </c>
      <c r="H5" s="3241"/>
      <c r="I5" s="3240" t="s">
        <v>2536</v>
      </c>
      <c r="J5" s="3241"/>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242" t="s">
        <v>2537</v>
      </c>
      <c r="D6" s="3243"/>
      <c r="E6" s="3244" t="s">
        <v>2537</v>
      </c>
      <c r="F6" s="3245"/>
      <c r="G6" s="3242" t="s">
        <v>2537</v>
      </c>
      <c r="H6" s="3243"/>
      <c r="I6" s="3242" t="s">
        <v>2537</v>
      </c>
      <c r="J6" s="3243"/>
      <c r="K6" s="610" t="s">
        <v>2538</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6" t="s">
        <v>2540</v>
      </c>
      <c r="Q7" s="3203"/>
      <c r="R7" s="769" t="s">
        <v>17</v>
      </c>
      <c r="S7" s="770">
        <f t="shared" ref="S7:S14" si="0">F7</f>
        <v>0</v>
      </c>
      <c r="T7" s="769" t="s">
        <v>17</v>
      </c>
      <c r="U7" s="770">
        <f t="shared" ref="U7:U14" si="1">H7</f>
        <v>0</v>
      </c>
      <c r="V7" s="769" t="s">
        <v>17</v>
      </c>
      <c r="W7" s="770">
        <f t="shared" ref="W7:W14" si="2">J7</f>
        <v>0</v>
      </c>
      <c r="X7" s="771"/>
      <c r="Y7" s="3176" t="s">
        <v>2540</v>
      </c>
      <c r="Z7" s="3177"/>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6" t="s">
        <v>2543</v>
      </c>
      <c r="Q8" s="3177"/>
      <c r="R8" s="769" t="s">
        <v>17</v>
      </c>
      <c r="S8" s="770">
        <f t="shared" si="0"/>
        <v>0</v>
      </c>
      <c r="T8" s="769" t="s">
        <v>17</v>
      </c>
      <c r="U8" s="770">
        <f t="shared" si="1"/>
        <v>0</v>
      </c>
      <c r="V8" s="769" t="s">
        <v>17</v>
      </c>
      <c r="W8" s="770">
        <f t="shared" si="2"/>
        <v>0</v>
      </c>
      <c r="X8" s="771"/>
      <c r="Y8" s="3176" t="s">
        <v>2543</v>
      </c>
      <c r="Z8" s="3177"/>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3" t="s">
        <v>2546</v>
      </c>
      <c r="Q9" s="1796" t="str">
        <f t="shared" ref="Q9:Q14" si="6">B9</f>
        <v>用途</v>
      </c>
      <c r="R9" s="769" t="s">
        <v>17</v>
      </c>
      <c r="S9" s="770">
        <f t="shared" si="0"/>
        <v>100</v>
      </c>
      <c r="T9" s="769" t="s">
        <v>17</v>
      </c>
      <c r="U9" s="770">
        <f t="shared" si="1"/>
        <v>100</v>
      </c>
      <c r="V9" s="769" t="s">
        <v>17</v>
      </c>
      <c r="W9" s="770">
        <f t="shared" si="2"/>
        <v>100</v>
      </c>
      <c r="X9" s="771"/>
      <c r="Y9" s="3049"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3"/>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3"/>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3"/>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3"/>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
      <c r="A14" s="401" t="s">
        <v>2550</v>
      </c>
      <c r="B14" s="629" t="s">
        <v>2700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6" t="s">
        <v>2551</v>
      </c>
      <c r="Q14" s="1811" t="str">
        <f t="shared" si="6"/>
        <v>交通便捷度</v>
      </c>
      <c r="R14" s="773" t="s">
        <v>17</v>
      </c>
      <c r="S14" s="774">
        <f t="shared" si="0"/>
        <v>100</v>
      </c>
      <c r="T14" s="773" t="s">
        <v>17</v>
      </c>
      <c r="U14" s="774">
        <f t="shared" si="1"/>
        <v>100</v>
      </c>
      <c r="V14" s="773" t="s">
        <v>17</v>
      </c>
      <c r="W14" s="774">
        <f t="shared" si="2"/>
        <v>100</v>
      </c>
      <c r="X14" s="1814"/>
      <c r="Y14" s="3206" t="s">
        <v>2551</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07"/>
      <c r="Q15" s="1811"/>
      <c r="R15" s="773"/>
      <c r="S15" s="774"/>
      <c r="T15" s="773"/>
      <c r="U15" s="774"/>
      <c r="V15" s="773"/>
      <c r="W15" s="774"/>
      <c r="X15" s="1814"/>
      <c r="Y15" s="3207"/>
      <c r="Z15" s="1815"/>
      <c r="AA15" s="1812">
        <v>1</v>
      </c>
      <c r="AB15" s="1812">
        <v>1</v>
      </c>
      <c r="AC15" s="1812">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7"/>
      <c r="Q16" s="1811" t="str">
        <f>B16</f>
        <v>公共配套设施</v>
      </c>
      <c r="R16" s="773" t="s">
        <v>17</v>
      </c>
      <c r="S16" s="774">
        <f>F16</f>
        <v>100</v>
      </c>
      <c r="T16" s="773" t="s">
        <v>17</v>
      </c>
      <c r="U16" s="774">
        <f>H16</f>
        <v>100</v>
      </c>
      <c r="V16" s="773" t="s">
        <v>17</v>
      </c>
      <c r="W16" s="774">
        <f>J16</f>
        <v>100</v>
      </c>
      <c r="X16" s="1814"/>
      <c r="Y16" s="3207"/>
      <c r="Z16" s="1815" t="str">
        <f>Q16</f>
        <v>公共配套设施</v>
      </c>
      <c r="AA16" s="1812">
        <f t="shared" si="3"/>
        <v>1</v>
      </c>
      <c r="AB16" s="1812">
        <f t="shared" si="4"/>
        <v>1</v>
      </c>
      <c r="AC16" s="1812">
        <f t="shared" si="5"/>
        <v>1</v>
      </c>
    </row>
    <row r="17" spans="1:29" ht="15">
      <c r="A17" s="404"/>
      <c r="B17" s="632"/>
      <c r="C17" s="2606"/>
      <c r="D17" s="448"/>
      <c r="E17" s="447"/>
      <c r="F17" s="449"/>
      <c r="G17" s="447"/>
      <c r="H17" s="448"/>
      <c r="I17" s="447"/>
      <c r="J17" s="448"/>
      <c r="K17" s="615"/>
      <c r="L17" s="1142"/>
      <c r="M17" s="1133"/>
      <c r="N17" s="1133"/>
      <c r="O17" s="1133"/>
      <c r="P17" s="3207"/>
      <c r="Q17" s="1811"/>
      <c r="R17" s="773"/>
      <c r="S17" s="774"/>
      <c r="T17" s="773"/>
      <c r="U17" s="774"/>
      <c r="V17" s="773"/>
      <c r="W17" s="774"/>
      <c r="X17" s="1814"/>
      <c r="Y17" s="3207"/>
      <c r="Z17" s="1815"/>
      <c r="AA17" s="1812">
        <v>1</v>
      </c>
      <c r="AB17" s="1812">
        <v>1</v>
      </c>
      <c r="AC17" s="1812">
        <v>1</v>
      </c>
    </row>
    <row r="18" spans="1:29" ht="15">
      <c r="A18" s="404"/>
      <c r="B18" s="633" t="s">
        <v>2680</v>
      </c>
      <c r="C18" s="2605"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7"/>
      <c r="Q18" s="1811" t="str">
        <f>B18</f>
        <v>基础设施水平</v>
      </c>
      <c r="R18" s="773" t="s">
        <v>17</v>
      </c>
      <c r="S18" s="774">
        <f>F18</f>
        <v>100</v>
      </c>
      <c r="T18" s="773" t="s">
        <v>17</v>
      </c>
      <c r="U18" s="774">
        <f>H18</f>
        <v>100</v>
      </c>
      <c r="V18" s="773" t="s">
        <v>17</v>
      </c>
      <c r="W18" s="774">
        <f>J18</f>
        <v>100</v>
      </c>
      <c r="X18" s="1814"/>
      <c r="Y18" s="3207"/>
      <c r="Z18" s="1815" t="str">
        <f>Q18</f>
        <v>基础设施水平</v>
      </c>
      <c r="AA18" s="1812">
        <f t="shared" ref="AA18" si="8">D18/F18</f>
        <v>1</v>
      </c>
      <c r="AB18" s="1812">
        <f t="shared" ref="AB18" si="9">D18/H18</f>
        <v>1</v>
      </c>
      <c r="AC18" s="1812">
        <f t="shared" ref="AC18" si="10">D18/J18</f>
        <v>1</v>
      </c>
    </row>
    <row r="19" spans="1:29" ht="15">
      <c r="A19" s="404"/>
      <c r="B19" s="633"/>
      <c r="C19" s="2606"/>
      <c r="D19" s="450"/>
      <c r="E19" s="2606"/>
      <c r="F19" s="453"/>
      <c r="G19" s="2606"/>
      <c r="H19" s="448"/>
      <c r="I19" s="447"/>
      <c r="J19" s="448"/>
      <c r="K19" s="1385"/>
      <c r="L19" s="1142"/>
      <c r="M19" s="1133"/>
      <c r="N19" s="1133"/>
      <c r="O19" s="1133"/>
      <c r="P19" s="3207"/>
      <c r="Q19" s="1811"/>
      <c r="R19" s="773"/>
      <c r="S19" s="774"/>
      <c r="T19" s="773"/>
      <c r="U19" s="774"/>
      <c r="V19" s="773"/>
      <c r="W19" s="774"/>
      <c r="X19" s="1814"/>
      <c r="Y19" s="3207"/>
      <c r="Z19" s="1815"/>
      <c r="AA19" s="1812">
        <v>1</v>
      </c>
      <c r="AB19" s="1812">
        <v>1</v>
      </c>
      <c r="AC19" s="1812">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7"/>
      <c r="Q20" s="1811" t="str">
        <f>B20</f>
        <v>自然及人文环境</v>
      </c>
      <c r="R20" s="773" t="s">
        <v>17</v>
      </c>
      <c r="S20" s="774">
        <f>F20</f>
        <v>100</v>
      </c>
      <c r="T20" s="773" t="s">
        <v>17</v>
      </c>
      <c r="U20" s="774">
        <f>H20</f>
        <v>100</v>
      </c>
      <c r="V20" s="773" t="s">
        <v>17</v>
      </c>
      <c r="W20" s="774">
        <f>J20</f>
        <v>100</v>
      </c>
      <c r="X20" s="1814"/>
      <c r="Y20" s="3207"/>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07"/>
      <c r="Q21" s="1811"/>
      <c r="R21" s="773"/>
      <c r="S21" s="774"/>
      <c r="T21" s="773"/>
      <c r="U21" s="774"/>
      <c r="V21" s="773"/>
      <c r="W21" s="774"/>
      <c r="X21" s="1814"/>
      <c r="Y21" s="3207"/>
      <c r="Z21" s="1815"/>
      <c r="AA21" s="1812">
        <v>1</v>
      </c>
      <c r="AB21" s="1812">
        <v>1</v>
      </c>
      <c r="AC21" s="1812">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7"/>
      <c r="Q22" s="1811" t="str">
        <f>B22</f>
        <v>楼层</v>
      </c>
      <c r="R22" s="773" t="s">
        <v>17</v>
      </c>
      <c r="S22" s="774">
        <f>F22</f>
        <v>100</v>
      </c>
      <c r="T22" s="773" t="s">
        <v>17</v>
      </c>
      <c r="U22" s="774">
        <f>H22</f>
        <v>100</v>
      </c>
      <c r="V22" s="773" t="s">
        <v>17</v>
      </c>
      <c r="W22" s="774">
        <f>J22</f>
        <v>100</v>
      </c>
      <c r="X22" s="1814"/>
      <c r="Y22" s="3207"/>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7"/>
      <c r="Q23" s="1811">
        <f>B23</f>
        <v>111</v>
      </c>
      <c r="R23" s="773" t="s">
        <v>17</v>
      </c>
      <c r="S23" s="774">
        <f>F23</f>
        <v>100</v>
      </c>
      <c r="T23" s="773" t="s">
        <v>17</v>
      </c>
      <c r="U23" s="774">
        <f>H23</f>
        <v>100</v>
      </c>
      <c r="V23" s="773" t="s">
        <v>17</v>
      </c>
      <c r="W23" s="774">
        <f>J23</f>
        <v>100</v>
      </c>
      <c r="X23" s="1814"/>
      <c r="Y23" s="3207"/>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7"/>
      <c r="Q24" s="1811">
        <f t="shared" ref="Q24:Q36" si="11">B24</f>
        <v>111</v>
      </c>
      <c r="R24" s="773" t="s">
        <v>17</v>
      </c>
      <c r="S24" s="774">
        <f>F24</f>
        <v>100</v>
      </c>
      <c r="T24" s="773" t="s">
        <v>17</v>
      </c>
      <c r="U24" s="774">
        <f>H24</f>
        <v>100</v>
      </c>
      <c r="V24" s="773" t="s">
        <v>17</v>
      </c>
      <c r="W24" s="774">
        <f>J24</f>
        <v>100</v>
      </c>
      <c r="X24" s="1814"/>
      <c r="Y24" s="3207"/>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7"/>
      <c r="Q25" s="1796">
        <f t="shared" si="11"/>
        <v>111</v>
      </c>
      <c r="R25" s="769" t="s">
        <v>17</v>
      </c>
      <c r="S25" s="770">
        <f>F25</f>
        <v>100</v>
      </c>
      <c r="T25" s="769" t="s">
        <v>17</v>
      </c>
      <c r="U25" s="770">
        <f>H25</f>
        <v>100</v>
      </c>
      <c r="V25" s="769" t="s">
        <v>17</v>
      </c>
      <c r="W25" s="770">
        <f>J25</f>
        <v>100</v>
      </c>
      <c r="X25" s="771"/>
      <c r="Y25" s="3207"/>
      <c r="Z25" s="55">
        <f>Q25</f>
        <v>111</v>
      </c>
      <c r="AA25" s="1812">
        <f>D25/F25</f>
        <v>1</v>
      </c>
      <c r="AB25" s="1812">
        <f>D25/H25</f>
        <v>1</v>
      </c>
      <c r="AC25" s="1812">
        <f>D25/J25</f>
        <v>1</v>
      </c>
    </row>
    <row r="26" spans="1:29" ht="1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3" t="s">
        <v>2556</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1" t="s">
        <v>2556</v>
      </c>
      <c r="Z26" s="1815" t="str">
        <f t="shared" ref="Z26:Z36" si="15">Q26</f>
        <v>配套类型</v>
      </c>
      <c r="AA26" s="1812">
        <f t="shared" si="3"/>
        <v>1</v>
      </c>
      <c r="AB26" s="1812">
        <f t="shared" si="4"/>
        <v>1</v>
      </c>
      <c r="AC26" s="1812">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12">
        <f t="shared" si="3"/>
        <v>1</v>
      </c>
      <c r="AB27" s="1812">
        <f t="shared" si="4"/>
        <v>1</v>
      </c>
      <c r="AC27" s="1812">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1"/>
      <c r="Q28" s="1811" t="str">
        <f t="shared" si="11"/>
        <v>公共部分装修</v>
      </c>
      <c r="R28" s="773" t="s">
        <v>17</v>
      </c>
      <c r="S28" s="774">
        <f t="shared" si="12"/>
        <v>100</v>
      </c>
      <c r="T28" s="773" t="s">
        <v>17</v>
      </c>
      <c r="U28" s="774">
        <f t="shared" si="13"/>
        <v>100</v>
      </c>
      <c r="V28" s="773" t="s">
        <v>17</v>
      </c>
      <c r="W28" s="774">
        <f t="shared" si="14"/>
        <v>100</v>
      </c>
      <c r="X28" s="1814"/>
      <c r="Y28" s="3211"/>
      <c r="Z28" s="1815" t="str">
        <f t="shared" si="15"/>
        <v>公共部分装修</v>
      </c>
      <c r="AA28" s="1812">
        <f t="shared" si="3"/>
        <v>1</v>
      </c>
      <c r="AB28" s="1812">
        <f t="shared" si="4"/>
        <v>1</v>
      </c>
      <c r="AC28" s="1812">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1"/>
      <c r="Q29" s="1811" t="str">
        <f t="shared" si="11"/>
        <v>成新率</v>
      </c>
      <c r="R29" s="773" t="s">
        <v>17</v>
      </c>
      <c r="S29" s="774" t="e">
        <f t="shared" si="12"/>
        <v>#N/A</v>
      </c>
      <c r="T29" s="773" t="s">
        <v>17</v>
      </c>
      <c r="U29" s="774" t="e">
        <f t="shared" si="13"/>
        <v>#N/A</v>
      </c>
      <c r="V29" s="773" t="s">
        <v>17</v>
      </c>
      <c r="W29" s="774" t="e">
        <f t="shared" si="14"/>
        <v>#N/A</v>
      </c>
      <c r="X29" s="1814"/>
      <c r="Y29" s="3211"/>
      <c r="Z29" s="1815" t="str">
        <f t="shared" si="15"/>
        <v>成新率</v>
      </c>
      <c r="AA29" s="1812" t="e">
        <f t="shared" si="3"/>
        <v>#N/A</v>
      </c>
      <c r="AB29" s="1812" t="e">
        <f t="shared" si="4"/>
        <v>#N/A</v>
      </c>
      <c r="AC29" s="1812"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1"/>
      <c r="Q30" s="1811" t="str">
        <f t="shared" si="11"/>
        <v>物业等级</v>
      </c>
      <c r="R30" s="773" t="s">
        <v>17</v>
      </c>
      <c r="S30" s="774">
        <f t="shared" si="12"/>
        <v>100</v>
      </c>
      <c r="T30" s="773" t="s">
        <v>17</v>
      </c>
      <c r="U30" s="774">
        <f t="shared" si="13"/>
        <v>100</v>
      </c>
      <c r="V30" s="773" t="s">
        <v>17</v>
      </c>
      <c r="W30" s="774">
        <f t="shared" si="14"/>
        <v>100</v>
      </c>
      <c r="X30" s="1814"/>
      <c r="Y30" s="3211"/>
      <c r="Z30" s="1815" t="str">
        <f t="shared" si="15"/>
        <v>物业等级</v>
      </c>
      <c r="AA30" s="1812">
        <f t="shared" si="3"/>
        <v>1</v>
      </c>
      <c r="AB30" s="1812">
        <f t="shared" si="4"/>
        <v>1</v>
      </c>
      <c r="AC30" s="1812">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1"/>
      <c r="Q31" s="1796"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1" t="s">
        <v>2556</v>
      </c>
      <c r="Q32" s="1811" t="str">
        <f t="shared" si="11"/>
        <v>车位类型</v>
      </c>
      <c r="R32" s="773" t="s">
        <v>17</v>
      </c>
      <c r="S32" s="774">
        <f t="shared" si="12"/>
        <v>100</v>
      </c>
      <c r="T32" s="773" t="s">
        <v>17</v>
      </c>
      <c r="U32" s="774">
        <f t="shared" si="13"/>
        <v>100</v>
      </c>
      <c r="V32" s="773" t="s">
        <v>17</v>
      </c>
      <c r="W32" s="774">
        <f t="shared" si="14"/>
        <v>100</v>
      </c>
      <c r="X32" s="1814"/>
      <c r="Y32" s="3211" t="s">
        <v>2556</v>
      </c>
      <c r="Z32" s="1815" t="str">
        <f t="shared" si="15"/>
        <v>车位类型</v>
      </c>
      <c r="AA32" s="1812">
        <f t="shared" si="3"/>
        <v>1</v>
      </c>
      <c r="AB32" s="1812">
        <f t="shared" si="4"/>
        <v>1</v>
      </c>
      <c r="AC32" s="1812">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1"/>
      <c r="Q33" s="1811" t="str">
        <f t="shared" si="11"/>
        <v>是否直接入户</v>
      </c>
      <c r="R33" s="773" t="s">
        <v>17</v>
      </c>
      <c r="S33" s="774">
        <f t="shared" si="12"/>
        <v>100</v>
      </c>
      <c r="T33" s="773" t="s">
        <v>17</v>
      </c>
      <c r="U33" s="774">
        <f t="shared" si="13"/>
        <v>100</v>
      </c>
      <c r="V33" s="773" t="s">
        <v>17</v>
      </c>
      <c r="W33" s="774">
        <f t="shared" si="14"/>
        <v>100</v>
      </c>
      <c r="X33" s="1814"/>
      <c r="Y33" s="3211"/>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1"/>
      <c r="Q34" s="1811">
        <f t="shared" si="11"/>
        <v>111</v>
      </c>
      <c r="R34" s="773" t="s">
        <v>17</v>
      </c>
      <c r="S34" s="774">
        <f t="shared" si="12"/>
        <v>100</v>
      </c>
      <c r="T34" s="773" t="s">
        <v>17</v>
      </c>
      <c r="U34" s="774">
        <f t="shared" si="13"/>
        <v>100</v>
      </c>
      <c r="V34" s="773" t="s">
        <v>17</v>
      </c>
      <c r="W34" s="774">
        <f t="shared" si="14"/>
        <v>100</v>
      </c>
      <c r="X34" s="1814"/>
      <c r="Y34" s="3211"/>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1"/>
      <c r="Q36" s="1811">
        <f t="shared" si="11"/>
        <v>111</v>
      </c>
      <c r="R36" s="773" t="s">
        <v>17</v>
      </c>
      <c r="S36" s="774">
        <f t="shared" si="12"/>
        <v>100</v>
      </c>
      <c r="T36" s="773" t="s">
        <v>17</v>
      </c>
      <c r="U36" s="774">
        <f t="shared" si="13"/>
        <v>100</v>
      </c>
      <c r="V36" s="773" t="s">
        <v>17</v>
      </c>
      <c r="W36" s="774">
        <f t="shared" si="14"/>
        <v>100</v>
      </c>
      <c r="X36" s="1814"/>
      <c r="Y36" s="3211"/>
      <c r="Z36" s="1815">
        <f t="shared" si="15"/>
        <v>111</v>
      </c>
      <c r="AA36" s="1812">
        <f t="shared" si="3"/>
        <v>1</v>
      </c>
      <c r="AB36" s="1812">
        <f t="shared" si="4"/>
        <v>1</v>
      </c>
      <c r="AC36" s="1812">
        <f t="shared" si="5"/>
        <v>1</v>
      </c>
    </row>
    <row r="37" spans="1:29" ht="15">
      <c r="A37" s="479" t="s">
        <v>2711</v>
      </c>
      <c r="B37" s="2692" t="s">
        <v>2712</v>
      </c>
      <c r="C37" s="1409" t="s">
        <v>1</v>
      </c>
      <c r="D37" s="1410"/>
      <c r="E37" s="1411"/>
      <c r="F37" s="1412"/>
      <c r="G37" s="1413"/>
      <c r="H37" s="1414"/>
      <c r="I37" s="1411"/>
      <c r="J37" s="1414"/>
      <c r="K37" s="619"/>
      <c r="L37" s="1145"/>
      <c r="M37" s="1146"/>
      <c r="N37" s="1133"/>
      <c r="O37" s="1146"/>
      <c r="P37" s="3213" t="str">
        <f>A37</f>
        <v>成交单价</v>
      </c>
      <c r="Q37" s="3213"/>
      <c r="R37" s="3214">
        <f>E37</f>
        <v>0</v>
      </c>
      <c r="S37" s="3214"/>
      <c r="T37" s="3214">
        <f>G37</f>
        <v>0</v>
      </c>
      <c r="U37" s="3214"/>
      <c r="V37" s="3214">
        <f>I37</f>
        <v>0</v>
      </c>
      <c r="W37" s="3214"/>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215" t="str">
        <f>A39</f>
        <v>估价对象XX用房的比较价值（楼面单价，元/平方米）</v>
      </c>
      <c r="Q39" s="3216"/>
      <c r="R39" s="3217" t="e">
        <f>IF(F1="售价",ROUND(AVERAGE(R38:V38),0),ROUND(AVERAGE(R38:V38),1))</f>
        <v>#DIV/0!</v>
      </c>
      <c r="S39" s="3217"/>
      <c r="T39" s="3217"/>
      <c r="U39" s="3217"/>
      <c r="V39" s="3217"/>
      <c r="W39" s="321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2"/>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3" t="s">
        <v>2639</v>
      </c>
      <c r="AC4" s="3172" t="s">
        <v>2640</v>
      </c>
    </row>
    <row r="5" spans="1:29" ht="15">
      <c r="A5" s="404"/>
      <c r="B5" s="405"/>
      <c r="C5" s="3240" t="s">
        <v>2533</v>
      </c>
      <c r="D5" s="3241"/>
      <c r="E5" s="3259" t="s">
        <v>2534</v>
      </c>
      <c r="F5" s="3260"/>
      <c r="G5" s="3240" t="s">
        <v>2535</v>
      </c>
      <c r="H5" s="3241"/>
      <c r="I5" s="3240" t="s">
        <v>2536</v>
      </c>
      <c r="J5" s="3241"/>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242" t="s">
        <v>2537</v>
      </c>
      <c r="D6" s="3243"/>
      <c r="E6" s="3244" t="s">
        <v>2537</v>
      </c>
      <c r="F6" s="3245"/>
      <c r="G6" s="3242" t="s">
        <v>2537</v>
      </c>
      <c r="H6" s="3243"/>
      <c r="I6" s="3242" t="s">
        <v>2537</v>
      </c>
      <c r="J6" s="3243"/>
      <c r="K6" s="610" t="s">
        <v>2538</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2539</v>
      </c>
      <c r="B7" s="409"/>
      <c r="C7" s="410">
        <f>'数据-取费表'!B2</f>
        <v>43316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176" t="s">
        <v>2540</v>
      </c>
      <c r="Q7" s="3203"/>
      <c r="R7" s="769" t="s">
        <v>17</v>
      </c>
      <c r="S7" s="770">
        <f t="shared" ref="S7:S14" si="0">F7</f>
        <v>0</v>
      </c>
      <c r="T7" s="769" t="s">
        <v>17</v>
      </c>
      <c r="U7" s="770">
        <f t="shared" ref="U7:U14" si="1">H7</f>
        <v>0</v>
      </c>
      <c r="V7" s="769" t="s">
        <v>17</v>
      </c>
      <c r="W7" s="770">
        <f t="shared" ref="W7:W14" si="2">J7</f>
        <v>0</v>
      </c>
      <c r="X7" s="771"/>
      <c r="Y7" s="3176" t="s">
        <v>2540</v>
      </c>
      <c r="Z7" s="3177"/>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6" t="s">
        <v>2543</v>
      </c>
      <c r="Q8" s="3177"/>
      <c r="R8" s="769" t="s">
        <v>17</v>
      </c>
      <c r="S8" s="770">
        <f t="shared" si="0"/>
        <v>0</v>
      </c>
      <c r="T8" s="769" t="s">
        <v>17</v>
      </c>
      <c r="U8" s="770">
        <f t="shared" si="1"/>
        <v>0</v>
      </c>
      <c r="V8" s="769" t="s">
        <v>17</v>
      </c>
      <c r="W8" s="770">
        <f t="shared" si="2"/>
        <v>0</v>
      </c>
      <c r="X8" s="771"/>
      <c r="Y8" s="3176" t="s">
        <v>2543</v>
      </c>
      <c r="Z8" s="3177"/>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3" t="s">
        <v>2546</v>
      </c>
      <c r="Q9" s="1796" t="str">
        <f t="shared" ref="Q9:Q14" si="6">B9</f>
        <v>用途</v>
      </c>
      <c r="R9" s="769" t="s">
        <v>17</v>
      </c>
      <c r="S9" s="770">
        <f t="shared" si="0"/>
        <v>100</v>
      </c>
      <c r="T9" s="769" t="s">
        <v>17</v>
      </c>
      <c r="U9" s="770">
        <f t="shared" si="1"/>
        <v>100</v>
      </c>
      <c r="V9" s="769" t="s">
        <v>17</v>
      </c>
      <c r="W9" s="770">
        <f t="shared" si="2"/>
        <v>100</v>
      </c>
      <c r="X9" s="771"/>
      <c r="Y9" s="3049"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3"/>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3"/>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3"/>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3"/>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
      <c r="A14" s="440" t="s">
        <v>2550</v>
      </c>
      <c r="B14" s="69" t="s">
        <v>2700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6" t="s">
        <v>2551</v>
      </c>
      <c r="Q14" s="1811" t="str">
        <f t="shared" si="6"/>
        <v>交通便捷度</v>
      </c>
      <c r="R14" s="773" t="s">
        <v>17</v>
      </c>
      <c r="S14" s="774">
        <f t="shared" si="0"/>
        <v>100</v>
      </c>
      <c r="T14" s="773" t="s">
        <v>17</v>
      </c>
      <c r="U14" s="774">
        <f t="shared" si="1"/>
        <v>100</v>
      </c>
      <c r="V14" s="773" t="s">
        <v>17</v>
      </c>
      <c r="W14" s="774">
        <f t="shared" si="2"/>
        <v>100</v>
      </c>
      <c r="X14" s="1814"/>
      <c r="Y14" s="3206" t="s">
        <v>2551</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7"/>
      <c r="Q15" s="1811"/>
      <c r="R15" s="773"/>
      <c r="S15" s="774"/>
      <c r="T15" s="773"/>
      <c r="U15" s="774"/>
      <c r="V15" s="773"/>
      <c r="W15" s="774"/>
      <c r="X15" s="1814"/>
      <c r="Y15" s="3207"/>
      <c r="Z15" s="1815"/>
      <c r="AA15" s="1812">
        <v>1</v>
      </c>
      <c r="AB15" s="1812">
        <v>1</v>
      </c>
      <c r="AC15" s="1812">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7"/>
      <c r="Q16" s="1811" t="str">
        <f>B16</f>
        <v>公共配套设施</v>
      </c>
      <c r="R16" s="773" t="s">
        <v>17</v>
      </c>
      <c r="S16" s="774">
        <f>F16</f>
        <v>100</v>
      </c>
      <c r="T16" s="773" t="s">
        <v>17</v>
      </c>
      <c r="U16" s="774">
        <f>H16</f>
        <v>100</v>
      </c>
      <c r="V16" s="773" t="s">
        <v>17</v>
      </c>
      <c r="W16" s="774">
        <f>J16</f>
        <v>100</v>
      </c>
      <c r="X16" s="1814"/>
      <c r="Y16" s="3207"/>
      <c r="Z16" s="1815" t="str">
        <f>Q16</f>
        <v>公共配套设施</v>
      </c>
      <c r="AA16" s="1812">
        <f t="shared" si="3"/>
        <v>1</v>
      </c>
      <c r="AB16" s="1812">
        <f t="shared" si="4"/>
        <v>1</v>
      </c>
      <c r="AC16" s="1812">
        <f t="shared" si="5"/>
        <v>1</v>
      </c>
    </row>
    <row r="17" spans="1:29" ht="15">
      <c r="A17" s="428"/>
      <c r="B17" s="456"/>
      <c r="C17" s="2606"/>
      <c r="D17" s="448"/>
      <c r="E17" s="447"/>
      <c r="F17" s="449"/>
      <c r="G17" s="447"/>
      <c r="H17" s="448"/>
      <c r="I17" s="447"/>
      <c r="J17" s="448"/>
      <c r="K17" s="615"/>
      <c r="L17" s="1142"/>
      <c r="M17" s="1133"/>
      <c r="N17" s="1133"/>
      <c r="O17" s="1141"/>
      <c r="P17" s="3207"/>
      <c r="Q17" s="1811"/>
      <c r="R17" s="773"/>
      <c r="S17" s="774"/>
      <c r="T17" s="773"/>
      <c r="U17" s="774"/>
      <c r="V17" s="773"/>
      <c r="W17" s="774"/>
      <c r="X17" s="1814"/>
      <c r="Y17" s="3207"/>
      <c r="Z17" s="1815"/>
      <c r="AA17" s="1812">
        <v>1</v>
      </c>
      <c r="AB17" s="1812">
        <v>1</v>
      </c>
      <c r="AC17" s="1812">
        <v>1</v>
      </c>
    </row>
    <row r="18" spans="1:29" ht="15">
      <c r="A18" s="428"/>
      <c r="B18" s="1386" t="s">
        <v>2680</v>
      </c>
      <c r="C18" s="2605"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7"/>
      <c r="Q18" s="1811" t="str">
        <f>B18</f>
        <v>基础设施水平</v>
      </c>
      <c r="R18" s="773" t="s">
        <v>17</v>
      </c>
      <c r="S18" s="774">
        <f>F18</f>
        <v>100</v>
      </c>
      <c r="T18" s="773" t="s">
        <v>17</v>
      </c>
      <c r="U18" s="774">
        <f>H18</f>
        <v>100</v>
      </c>
      <c r="V18" s="773" t="s">
        <v>17</v>
      </c>
      <c r="W18" s="774">
        <f>J18</f>
        <v>100</v>
      </c>
      <c r="X18" s="1814"/>
      <c r="Y18" s="3207"/>
      <c r="Z18" s="1815" t="str">
        <f>Q18</f>
        <v>基础设施水平</v>
      </c>
      <c r="AA18" s="1812">
        <f t="shared" ref="AA18" si="8">D18/F18</f>
        <v>1</v>
      </c>
      <c r="AB18" s="1812">
        <f t="shared" ref="AB18" si="9">D18/H18</f>
        <v>1</v>
      </c>
      <c r="AC18" s="1812">
        <f t="shared" ref="AC18" si="10">D18/J18</f>
        <v>1</v>
      </c>
    </row>
    <row r="19" spans="1:29" ht="15">
      <c r="A19" s="428"/>
      <c r="B19" s="1386"/>
      <c r="C19" s="2606"/>
      <c r="D19" s="450"/>
      <c r="E19" s="2606"/>
      <c r="F19" s="453"/>
      <c r="G19" s="2606"/>
      <c r="H19" s="448"/>
      <c r="I19" s="447"/>
      <c r="J19" s="448"/>
      <c r="K19" s="1385"/>
      <c r="L19" s="1142"/>
      <c r="M19" s="1133"/>
      <c r="N19" s="1133"/>
      <c r="O19" s="1141"/>
      <c r="P19" s="3207"/>
      <c r="Q19" s="1811"/>
      <c r="R19" s="773"/>
      <c r="S19" s="774"/>
      <c r="T19" s="773"/>
      <c r="U19" s="774"/>
      <c r="V19" s="773"/>
      <c r="W19" s="774"/>
      <c r="X19" s="1814"/>
      <c r="Y19" s="3207"/>
      <c r="Z19" s="1815"/>
      <c r="AA19" s="1812">
        <v>1</v>
      </c>
      <c r="AB19" s="1812">
        <v>1</v>
      </c>
      <c r="AC19" s="1812">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7"/>
      <c r="Q20" s="1811" t="str">
        <f>B20</f>
        <v>自然及人文环境</v>
      </c>
      <c r="R20" s="773" t="s">
        <v>17</v>
      </c>
      <c r="S20" s="774">
        <f>F20</f>
        <v>100</v>
      </c>
      <c r="T20" s="773" t="s">
        <v>17</v>
      </c>
      <c r="U20" s="774">
        <f>H20</f>
        <v>100</v>
      </c>
      <c r="V20" s="773" t="s">
        <v>17</v>
      </c>
      <c r="W20" s="774">
        <f>J20</f>
        <v>100</v>
      </c>
      <c r="X20" s="1814"/>
      <c r="Y20" s="3207"/>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7"/>
      <c r="Q21" s="1811"/>
      <c r="R21" s="773"/>
      <c r="S21" s="774"/>
      <c r="T21" s="773"/>
      <c r="U21" s="774"/>
      <c r="V21" s="773"/>
      <c r="W21" s="774"/>
      <c r="X21" s="1814"/>
      <c r="Y21" s="3207"/>
      <c r="Z21" s="1815"/>
      <c r="AA21" s="1812">
        <v>1</v>
      </c>
      <c r="AB21" s="1812">
        <v>1</v>
      </c>
      <c r="AC21" s="1812">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7"/>
      <c r="Q22" s="1811" t="str">
        <f>B22</f>
        <v>楼层</v>
      </c>
      <c r="R22" s="773" t="s">
        <v>17</v>
      </c>
      <c r="S22" s="774">
        <f>F22</f>
        <v>100</v>
      </c>
      <c r="T22" s="773" t="s">
        <v>17</v>
      </c>
      <c r="U22" s="774">
        <f>H22</f>
        <v>100</v>
      </c>
      <c r="V22" s="773" t="s">
        <v>17</v>
      </c>
      <c r="W22" s="774">
        <f>J22</f>
        <v>100</v>
      </c>
      <c r="X22" s="1814"/>
      <c r="Y22" s="3207"/>
      <c r="Z22" s="1815" t="str">
        <f>Q22</f>
        <v>楼层</v>
      </c>
      <c r="AA22" s="1812">
        <f t="shared" si="3"/>
        <v>1</v>
      </c>
      <c r="AB22" s="1812">
        <f t="shared" si="4"/>
        <v>1</v>
      </c>
      <c r="AC22" s="1812">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7"/>
      <c r="Q23" s="1811">
        <f>B23</f>
        <v>111</v>
      </c>
      <c r="R23" s="773" t="s">
        <v>17</v>
      </c>
      <c r="S23" s="774">
        <f>F23</f>
        <v>100</v>
      </c>
      <c r="T23" s="773" t="s">
        <v>17</v>
      </c>
      <c r="U23" s="774">
        <f>H23</f>
        <v>100</v>
      </c>
      <c r="V23" s="773" t="s">
        <v>17</v>
      </c>
      <c r="W23" s="774">
        <f>J23</f>
        <v>100</v>
      </c>
      <c r="X23" s="1814"/>
      <c r="Y23" s="3207"/>
      <c r="Z23" s="1815">
        <f>Q23</f>
        <v>111</v>
      </c>
      <c r="AA23" s="1812">
        <f t="shared" si="3"/>
        <v>1</v>
      </c>
      <c r="AB23" s="1812">
        <f t="shared" si="4"/>
        <v>1</v>
      </c>
      <c r="AC23" s="1812">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7"/>
      <c r="Q24" s="1811">
        <f t="shared" ref="Q24:Q34" si="11">B24</f>
        <v>111</v>
      </c>
      <c r="R24" s="773" t="s">
        <v>17</v>
      </c>
      <c r="S24" s="774">
        <f>F24</f>
        <v>100</v>
      </c>
      <c r="T24" s="773" t="s">
        <v>17</v>
      </c>
      <c r="U24" s="774">
        <f>H24</f>
        <v>100</v>
      </c>
      <c r="V24" s="773" t="s">
        <v>17</v>
      </c>
      <c r="W24" s="774">
        <f>J24</f>
        <v>100</v>
      </c>
      <c r="X24" s="1814"/>
      <c r="Y24" s="3207"/>
      <c r="Z24" s="1815">
        <f>Q24</f>
        <v>111</v>
      </c>
      <c r="AA24" s="1812">
        <f t="shared" si="3"/>
        <v>1</v>
      </c>
      <c r="AB24" s="1812">
        <f t="shared" si="4"/>
        <v>1</v>
      </c>
      <c r="AC24" s="1812">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7"/>
      <c r="Q25" s="1796">
        <f t="shared" si="11"/>
        <v>111</v>
      </c>
      <c r="R25" s="769" t="s">
        <v>17</v>
      </c>
      <c r="S25" s="770">
        <f>F25</f>
        <v>100</v>
      </c>
      <c r="T25" s="769" t="s">
        <v>17</v>
      </c>
      <c r="U25" s="770">
        <f>H25</f>
        <v>100</v>
      </c>
      <c r="V25" s="769" t="s">
        <v>17</v>
      </c>
      <c r="W25" s="770">
        <f>J25</f>
        <v>100</v>
      </c>
      <c r="X25" s="771"/>
      <c r="Y25" s="3207"/>
      <c r="Z25" s="55">
        <f>Q25</f>
        <v>111</v>
      </c>
      <c r="AA25" s="1812">
        <f>D25/F25</f>
        <v>1</v>
      </c>
      <c r="AB25" s="1812">
        <f>D25/H25</f>
        <v>1</v>
      </c>
      <c r="AC25" s="1812">
        <f>D25/J25</f>
        <v>1</v>
      </c>
    </row>
    <row r="26" spans="1:29" ht="1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73" t="s">
        <v>2556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1" t="s">
        <v>2556</v>
      </c>
      <c r="Z26" s="1815" t="str">
        <f t="shared" ref="Z26:Z34" si="15">Q26</f>
        <v>公共部分装修</v>
      </c>
      <c r="AA26" s="1812">
        <f t="shared" si="3"/>
        <v>1</v>
      </c>
      <c r="AB26" s="1812">
        <f t="shared" si="4"/>
        <v>1</v>
      </c>
      <c r="AC26" s="1812">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12" t="e">
        <f t="shared" si="3"/>
        <v>#N/A</v>
      </c>
      <c r="AB27" s="1812" t="e">
        <f t="shared" si="4"/>
        <v>#N/A</v>
      </c>
      <c r="AC27" s="1812"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1"/>
      <c r="Q28" s="1811" t="str">
        <f t="shared" si="11"/>
        <v>物业等级</v>
      </c>
      <c r="R28" s="773" t="s">
        <v>17</v>
      </c>
      <c r="S28" s="774">
        <f t="shared" si="12"/>
        <v>100</v>
      </c>
      <c r="T28" s="773" t="s">
        <v>17</v>
      </c>
      <c r="U28" s="774">
        <f t="shared" si="13"/>
        <v>100</v>
      </c>
      <c r="V28" s="773" t="s">
        <v>17</v>
      </c>
      <c r="W28" s="774">
        <f t="shared" si="14"/>
        <v>100</v>
      </c>
      <c r="X28" s="1814"/>
      <c r="Y28" s="3211"/>
      <c r="Z28" s="1815" t="str">
        <f t="shared" si="15"/>
        <v>物业等级</v>
      </c>
      <c r="AA28" s="1812">
        <f t="shared" si="3"/>
        <v>1</v>
      </c>
      <c r="AB28" s="1812">
        <f t="shared" si="4"/>
        <v>1</v>
      </c>
      <c r="AC28" s="1812">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1"/>
      <c r="Q29" s="1811" t="str">
        <f t="shared" si="11"/>
        <v>有无电梯</v>
      </c>
      <c r="R29" s="773" t="s">
        <v>17</v>
      </c>
      <c r="S29" s="774">
        <f t="shared" si="12"/>
        <v>100</v>
      </c>
      <c r="T29" s="773" t="s">
        <v>17</v>
      </c>
      <c r="U29" s="774">
        <f t="shared" si="13"/>
        <v>100</v>
      </c>
      <c r="V29" s="773" t="s">
        <v>17</v>
      </c>
      <c r="W29" s="774">
        <f t="shared" si="14"/>
        <v>100</v>
      </c>
      <c r="X29" s="1814"/>
      <c r="Y29" s="3211"/>
      <c r="Z29" s="1815" t="str">
        <f t="shared" si="15"/>
        <v>有无电梯</v>
      </c>
      <c r="AA29" s="1812">
        <f t="shared" si="3"/>
        <v>1</v>
      </c>
      <c r="AB29" s="1812">
        <f t="shared" si="4"/>
        <v>1</v>
      </c>
      <c r="AC29" s="1812">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1"/>
      <c r="Q30" s="1811" t="str">
        <f t="shared" si="11"/>
        <v>建筑面积</v>
      </c>
      <c r="R30" s="773" t="s">
        <v>17</v>
      </c>
      <c r="S30" s="774" t="e">
        <f t="shared" si="12"/>
        <v>#N/A</v>
      </c>
      <c r="T30" s="773" t="s">
        <v>17</v>
      </c>
      <c r="U30" s="774" t="e">
        <f t="shared" si="13"/>
        <v>#N/A</v>
      </c>
      <c r="V30" s="773" t="s">
        <v>17</v>
      </c>
      <c r="W30" s="774" t="e">
        <f t="shared" si="14"/>
        <v>#N/A</v>
      </c>
      <c r="X30" s="1814"/>
      <c r="Y30" s="3211"/>
      <c r="Z30" s="1815" t="str">
        <f t="shared" si="15"/>
        <v>建筑面积</v>
      </c>
      <c r="AA30" s="1812" t="e">
        <f t="shared" si="3"/>
        <v>#N/A</v>
      </c>
      <c r="AB30" s="1812" t="e">
        <f t="shared" si="4"/>
        <v>#N/A</v>
      </c>
      <c r="AC30" s="1812"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1"/>
      <c r="Q31" s="1796"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1" t="s">
        <v>2556</v>
      </c>
      <c r="Q32" s="1811">
        <f t="shared" si="11"/>
        <v>111</v>
      </c>
      <c r="R32" s="773" t="s">
        <v>17</v>
      </c>
      <c r="S32" s="774">
        <f t="shared" si="12"/>
        <v>100</v>
      </c>
      <c r="T32" s="773" t="s">
        <v>17</v>
      </c>
      <c r="U32" s="774">
        <f t="shared" si="13"/>
        <v>100</v>
      </c>
      <c r="V32" s="773" t="s">
        <v>17</v>
      </c>
      <c r="W32" s="774">
        <f t="shared" si="14"/>
        <v>100</v>
      </c>
      <c r="X32" s="1814"/>
      <c r="Y32" s="3211" t="s">
        <v>2556</v>
      </c>
      <c r="Z32" s="1815">
        <f t="shared" si="15"/>
        <v>111</v>
      </c>
      <c r="AA32" s="1812">
        <f t="shared" si="3"/>
        <v>1</v>
      </c>
      <c r="AB32" s="1812">
        <f t="shared" si="4"/>
        <v>1</v>
      </c>
      <c r="AC32" s="1812">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1"/>
      <c r="Q33" s="1811">
        <f t="shared" si="11"/>
        <v>111</v>
      </c>
      <c r="R33" s="773" t="s">
        <v>17</v>
      </c>
      <c r="S33" s="774">
        <f t="shared" si="12"/>
        <v>100</v>
      </c>
      <c r="T33" s="773" t="s">
        <v>17</v>
      </c>
      <c r="U33" s="774">
        <f t="shared" si="13"/>
        <v>100</v>
      </c>
      <c r="V33" s="773" t="s">
        <v>17</v>
      </c>
      <c r="W33" s="774">
        <f t="shared" si="14"/>
        <v>100</v>
      </c>
      <c r="X33" s="1814"/>
      <c r="Y33" s="3211"/>
      <c r="Z33" s="1815">
        <f t="shared" si="15"/>
        <v>111</v>
      </c>
      <c r="AA33" s="1812">
        <f t="shared" si="3"/>
        <v>1</v>
      </c>
      <c r="AB33" s="1812">
        <f t="shared" si="4"/>
        <v>1</v>
      </c>
      <c r="AC33" s="1812">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11"/>
      <c r="Q34" s="1811">
        <f t="shared" si="11"/>
        <v>111</v>
      </c>
      <c r="R34" s="773" t="s">
        <v>17</v>
      </c>
      <c r="S34" s="774">
        <f t="shared" si="12"/>
        <v>100</v>
      </c>
      <c r="T34" s="773" t="s">
        <v>17</v>
      </c>
      <c r="U34" s="774">
        <f t="shared" si="13"/>
        <v>100</v>
      </c>
      <c r="V34" s="773" t="s">
        <v>17</v>
      </c>
      <c r="W34" s="774">
        <f t="shared" si="14"/>
        <v>100</v>
      </c>
      <c r="X34" s="1814"/>
      <c r="Y34" s="3211"/>
      <c r="Z34" s="1815">
        <f t="shared" si="15"/>
        <v>111</v>
      </c>
      <c r="AA34" s="1812">
        <f t="shared" si="3"/>
        <v>1</v>
      </c>
      <c r="AB34" s="1812">
        <f t="shared" si="4"/>
        <v>1</v>
      </c>
      <c r="AC34" s="1812">
        <f t="shared" si="5"/>
        <v>1</v>
      </c>
    </row>
    <row r="35" spans="1:29" ht="15">
      <c r="A35" s="479" t="s">
        <v>2568</v>
      </c>
      <c r="B35" s="480"/>
      <c r="C35" s="1409" t="s">
        <v>1</v>
      </c>
      <c r="D35" s="1410"/>
      <c r="E35" s="1411"/>
      <c r="F35" s="1412"/>
      <c r="G35" s="1413"/>
      <c r="H35" s="1414"/>
      <c r="I35" s="1411"/>
      <c r="J35" s="1414"/>
      <c r="K35" s="782"/>
      <c r="L35" s="1145"/>
      <c r="M35" s="1146"/>
      <c r="N35" s="1133"/>
      <c r="O35" s="1146"/>
      <c r="P35" s="3213" t="str">
        <f>A35</f>
        <v>成交单价（元/平方米）</v>
      </c>
      <c r="Q35" s="3213"/>
      <c r="R35" s="3214">
        <f>E35</f>
        <v>0</v>
      </c>
      <c r="S35" s="3214"/>
      <c r="T35" s="3214">
        <f>G35</f>
        <v>0</v>
      </c>
      <c r="U35" s="3214"/>
      <c r="V35" s="3214">
        <f>I35</f>
        <v>0</v>
      </c>
      <c r="W35" s="3214"/>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215" t="str">
        <f>A37</f>
        <v>估价对象XX用房的比较价值（楼面单价，元/平方米）</v>
      </c>
      <c r="Q37" s="3216"/>
      <c r="R37" s="3217" t="e">
        <f>IF(F1="售价",ROUND(AVERAGE(R36:V36),0),ROUND(AVERAGE(R36:V36),1))</f>
        <v>#DIV/0!</v>
      </c>
      <c r="S37" s="3217"/>
      <c r="T37" s="3217"/>
      <c r="U37" s="3217"/>
      <c r="V37" s="3217"/>
      <c r="W37" s="321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3" t="s">
        <v>2639</v>
      </c>
      <c r="AC4" s="3172" t="s">
        <v>2640</v>
      </c>
    </row>
    <row r="5" spans="1:30" ht="15">
      <c r="A5" s="404"/>
      <c r="B5" s="405"/>
      <c r="C5" s="3240" t="s">
        <v>2533</v>
      </c>
      <c r="D5" s="3241"/>
      <c r="E5" s="3259" t="s">
        <v>2534</v>
      </c>
      <c r="F5" s="3260"/>
      <c r="G5" s="3240" t="s">
        <v>2535</v>
      </c>
      <c r="H5" s="3241"/>
      <c r="I5" s="3240" t="s">
        <v>2536</v>
      </c>
      <c r="J5" s="3241"/>
      <c r="K5" s="610"/>
      <c r="L5" s="1132"/>
      <c r="M5" s="1133"/>
      <c r="N5" s="1133"/>
      <c r="O5" s="1133"/>
      <c r="P5" s="3197"/>
      <c r="Q5" s="3198"/>
      <c r="R5" s="3180"/>
      <c r="S5" s="3181"/>
      <c r="T5" s="3180"/>
      <c r="U5" s="3181"/>
      <c r="V5" s="3175"/>
      <c r="W5" s="3175"/>
      <c r="X5" s="1814"/>
      <c r="Y5" s="3180"/>
      <c r="Z5" s="3181"/>
      <c r="AA5" s="3173"/>
      <c r="AB5" s="3173"/>
      <c r="AC5" s="3173"/>
    </row>
    <row r="6" spans="1:30" ht="15.75" thickBot="1">
      <c r="A6" s="406"/>
      <c r="B6" s="407"/>
      <c r="C6" s="3242" t="s">
        <v>2537</v>
      </c>
      <c r="D6" s="3243"/>
      <c r="E6" s="3244" t="s">
        <v>2537</v>
      </c>
      <c r="F6" s="3245"/>
      <c r="G6" s="3242" t="s">
        <v>2537</v>
      </c>
      <c r="H6" s="3243"/>
      <c r="I6" s="3242" t="s">
        <v>2537</v>
      </c>
      <c r="J6" s="3243"/>
      <c r="K6" s="610" t="s">
        <v>2538</v>
      </c>
      <c r="L6" s="1132"/>
      <c r="M6" s="1133"/>
      <c r="N6" s="1133"/>
      <c r="O6" s="1133"/>
      <c r="P6" s="3199"/>
      <c r="Q6" s="3200"/>
      <c r="R6" s="3180"/>
      <c r="S6" s="3181"/>
      <c r="T6" s="3201"/>
      <c r="U6" s="3202"/>
      <c r="V6" s="3175"/>
      <c r="W6" s="3175"/>
      <c r="X6" s="1814"/>
      <c r="Y6" s="3201"/>
      <c r="Z6" s="3202"/>
      <c r="AA6" s="3174"/>
      <c r="AB6" s="3174"/>
      <c r="AC6" s="3174"/>
    </row>
    <row r="7" spans="1:30" s="117" customFormat="1" ht="15.75" thickBot="1">
      <c r="A7" s="408" t="s">
        <v>2539</v>
      </c>
      <c r="B7" s="409"/>
      <c r="C7" s="410">
        <f>'数据-取费表'!B2</f>
        <v>43316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176" t="s">
        <v>2540</v>
      </c>
      <c r="Q7" s="3203"/>
      <c r="R7" s="769" t="s">
        <v>17</v>
      </c>
      <c r="S7" s="770">
        <f t="shared" ref="S7:S15" si="0">F7</f>
        <v>0</v>
      </c>
      <c r="T7" s="769" t="s">
        <v>17</v>
      </c>
      <c r="U7" s="770">
        <f t="shared" ref="U7:U15" si="1">H7</f>
        <v>0</v>
      </c>
      <c r="V7" s="769" t="s">
        <v>17</v>
      </c>
      <c r="W7" s="770">
        <f t="shared" ref="W7:W15" si="2">J7</f>
        <v>0</v>
      </c>
      <c r="X7" s="771"/>
      <c r="Y7" s="3176" t="s">
        <v>2540</v>
      </c>
      <c r="Z7" s="3177"/>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6" t="s">
        <v>2543</v>
      </c>
      <c r="Q8" s="3177"/>
      <c r="R8" s="769" t="s">
        <v>17</v>
      </c>
      <c r="S8" s="770">
        <f t="shared" si="0"/>
        <v>0</v>
      </c>
      <c r="T8" s="769" t="s">
        <v>17</v>
      </c>
      <c r="U8" s="770">
        <f t="shared" si="1"/>
        <v>0</v>
      </c>
      <c r="V8" s="769" t="s">
        <v>17</v>
      </c>
      <c r="W8" s="770">
        <f t="shared" si="2"/>
        <v>0</v>
      </c>
      <c r="X8" s="771"/>
      <c r="Y8" s="3176" t="s">
        <v>2543</v>
      </c>
      <c r="Z8" s="3177"/>
      <c r="AA8" s="772" t="e">
        <f t="shared" ref="AA8:AA45" si="3">D8/F8</f>
        <v>#DIV/0!</v>
      </c>
      <c r="AB8" s="772" t="e">
        <f t="shared" ref="AB8:AB45" si="4">D8/H8</f>
        <v>#DIV/0!</v>
      </c>
      <c r="AC8" s="772"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213"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213"/>
      <c r="Q10" s="1796" t="str">
        <f t="shared" si="6"/>
        <v>土地使用年限（年）</v>
      </c>
      <c r="R10" s="769" t="s">
        <v>17</v>
      </c>
      <c r="S10" s="770">
        <f t="shared" si="0"/>
        <v>109</v>
      </c>
      <c r="T10" s="769" t="s">
        <v>17</v>
      </c>
      <c r="U10" s="770">
        <f t="shared" si="1"/>
        <v>109</v>
      </c>
      <c r="V10" s="769" t="s">
        <v>17</v>
      </c>
      <c r="W10" s="770">
        <f t="shared" si="2"/>
        <v>109</v>
      </c>
      <c r="X10" s="771"/>
      <c r="Y10" s="3049"/>
      <c r="Z10" s="55" t="str">
        <f t="shared" si="7"/>
        <v>土地使用年限（年）</v>
      </c>
      <c r="AA10" s="772">
        <f t="shared" si="3"/>
        <v>0.91743119266055051</v>
      </c>
      <c r="AB10" s="772">
        <f t="shared" si="4"/>
        <v>0.91743119266055051</v>
      </c>
      <c r="AC10" s="772">
        <f t="shared" si="5"/>
        <v>0.91743119266055051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3"/>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3"/>
      <c r="Q12" s="1796"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3"/>
      <c r="Q13" s="1796">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3"/>
      <c r="Q14" s="1796">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15">
      <c r="A15" s="440" t="s">
        <v>2550</v>
      </c>
      <c r="B15" s="69" t="s">
        <v>2084</v>
      </c>
      <c r="C15" s="2601"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6" t="s">
        <v>2551</v>
      </c>
      <c r="Q15" s="1811" t="str">
        <f t="shared" si="6"/>
        <v>居住社区成熟度</v>
      </c>
      <c r="R15" s="773" t="s">
        <v>17</v>
      </c>
      <c r="S15" s="774">
        <f t="shared" si="0"/>
        <v>100</v>
      </c>
      <c r="T15" s="773" t="s">
        <v>17</v>
      </c>
      <c r="U15" s="774">
        <f t="shared" si="1"/>
        <v>100</v>
      </c>
      <c r="V15" s="773" t="s">
        <v>17</v>
      </c>
      <c r="W15" s="774">
        <f t="shared" si="2"/>
        <v>100</v>
      </c>
      <c r="X15" s="1814"/>
      <c r="Y15" s="3206" t="s">
        <v>2551</v>
      </c>
      <c r="Z15" s="1815" t="str">
        <f t="shared" si="7"/>
        <v>居住社区成熟度</v>
      </c>
      <c r="AA15" s="1812">
        <f t="shared" si="3"/>
        <v>1</v>
      </c>
      <c r="AB15" s="1812">
        <f t="shared" si="4"/>
        <v>1</v>
      </c>
      <c r="AC15" s="1812">
        <f t="shared" si="5"/>
        <v>1</v>
      </c>
    </row>
    <row r="16" spans="1:30" ht="15">
      <c r="A16" s="428"/>
      <c r="B16" s="446"/>
      <c r="C16" s="447"/>
      <c r="D16" s="448"/>
      <c r="E16" s="2603"/>
      <c r="F16" s="448"/>
      <c r="G16" s="2603"/>
      <c r="H16" s="450"/>
      <c r="I16" s="2602"/>
      <c r="J16" s="448"/>
      <c r="K16" s="672"/>
      <c r="L16" s="1142"/>
      <c r="M16" s="1133"/>
      <c r="N16" s="1133"/>
      <c r="O16" s="1141"/>
      <c r="P16" s="3207"/>
      <c r="Q16" s="1811"/>
      <c r="R16" s="773"/>
      <c r="S16" s="774"/>
      <c r="T16" s="773"/>
      <c r="U16" s="774"/>
      <c r="V16" s="773"/>
      <c r="W16" s="774"/>
      <c r="X16" s="1814"/>
      <c r="Y16" s="3207"/>
      <c r="Z16" s="1815"/>
      <c r="AA16" s="1812">
        <v>1</v>
      </c>
      <c r="AB16" s="1812">
        <v>1</v>
      </c>
      <c r="AC16" s="1812">
        <v>1</v>
      </c>
    </row>
    <row r="17" spans="1:29" ht="15">
      <c r="A17" s="428"/>
      <c r="B17" s="451" t="s">
        <v>2644</v>
      </c>
      <c r="C17" s="2661"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7"/>
      <c r="Q17" s="1811" t="str">
        <f>B17</f>
        <v>商业繁华度</v>
      </c>
      <c r="R17" s="773" t="s">
        <v>17</v>
      </c>
      <c r="S17" s="774">
        <f>F17</f>
        <v>100</v>
      </c>
      <c r="T17" s="773" t="s">
        <v>17</v>
      </c>
      <c r="U17" s="774">
        <f>H17</f>
        <v>100</v>
      </c>
      <c r="V17" s="773" t="s">
        <v>17</v>
      </c>
      <c r="W17" s="774">
        <f>J17</f>
        <v>100</v>
      </c>
      <c r="X17" s="1814"/>
      <c r="Y17" s="3207"/>
      <c r="Z17" s="1815" t="str">
        <f>Q17</f>
        <v>商业繁华度</v>
      </c>
      <c r="AA17" s="1812">
        <f t="shared" si="3"/>
        <v>1</v>
      </c>
      <c r="AB17" s="1812">
        <f t="shared" si="4"/>
        <v>1</v>
      </c>
      <c r="AC17" s="1812">
        <f t="shared" si="5"/>
        <v>1</v>
      </c>
    </row>
    <row r="18" spans="1:29" ht="15">
      <c r="A18" s="428"/>
      <c r="B18" s="456"/>
      <c r="C18" s="2606"/>
      <c r="D18" s="450"/>
      <c r="E18" s="2608"/>
      <c r="F18" s="450"/>
      <c r="G18" s="2608"/>
      <c r="H18" s="448"/>
      <c r="I18" s="2607"/>
      <c r="J18" s="448"/>
      <c r="K18" s="672"/>
      <c r="L18" s="1142"/>
      <c r="M18" s="1133"/>
      <c r="N18" s="1133"/>
      <c r="O18" s="1141"/>
      <c r="P18" s="3207"/>
      <c r="Q18" s="1811"/>
      <c r="R18" s="773"/>
      <c r="S18" s="774"/>
      <c r="T18" s="773"/>
      <c r="U18" s="774"/>
      <c r="V18" s="773"/>
      <c r="W18" s="774"/>
      <c r="X18" s="1814"/>
      <c r="Y18" s="3207"/>
      <c r="Z18" s="1815"/>
      <c r="AA18" s="1812">
        <v>1</v>
      </c>
      <c r="AB18" s="1812">
        <v>1</v>
      </c>
      <c r="AC18" s="1812">
        <v>1</v>
      </c>
    </row>
    <row r="19" spans="1:29" ht="15">
      <c r="A19" s="428"/>
      <c r="B19" s="451" t="s">
        <v>2678</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7"/>
      <c r="Q19" s="1811" t="str">
        <f>B19</f>
        <v>办公集聚程度</v>
      </c>
      <c r="R19" s="773" t="s">
        <v>17</v>
      </c>
      <c r="S19" s="774">
        <f>F19</f>
        <v>100</v>
      </c>
      <c r="T19" s="773" t="s">
        <v>17</v>
      </c>
      <c r="U19" s="774">
        <f>H19</f>
        <v>100</v>
      </c>
      <c r="V19" s="773" t="s">
        <v>17</v>
      </c>
      <c r="W19" s="774">
        <f>J19</f>
        <v>100</v>
      </c>
      <c r="X19" s="1814"/>
      <c r="Y19" s="3207"/>
      <c r="Z19" s="1815" t="str">
        <f>Q19</f>
        <v>办公集聚程度</v>
      </c>
      <c r="AA19" s="1812">
        <f t="shared" si="3"/>
        <v>1</v>
      </c>
      <c r="AB19" s="1812">
        <f t="shared" si="4"/>
        <v>1</v>
      </c>
      <c r="AC19" s="1812">
        <f t="shared" si="5"/>
        <v>1</v>
      </c>
    </row>
    <row r="20" spans="1:29" ht="15">
      <c r="A20" s="428"/>
      <c r="B20" s="456"/>
      <c r="C20" s="447"/>
      <c r="D20" s="448"/>
      <c r="E20" s="2603"/>
      <c r="F20" s="448"/>
      <c r="G20" s="2603"/>
      <c r="H20" s="448"/>
      <c r="I20" s="2602"/>
      <c r="J20" s="448"/>
      <c r="K20" s="672"/>
      <c r="L20" s="1142"/>
      <c r="M20" s="1133"/>
      <c r="N20" s="1133"/>
      <c r="O20" s="1141"/>
      <c r="P20" s="3207"/>
      <c r="Q20" s="1811"/>
      <c r="R20" s="773"/>
      <c r="S20" s="774"/>
      <c r="T20" s="773"/>
      <c r="U20" s="774"/>
      <c r="V20" s="773"/>
      <c r="W20" s="774"/>
      <c r="X20" s="1814"/>
      <c r="Y20" s="3207"/>
      <c r="Z20" s="1815"/>
      <c r="AA20" s="1812">
        <v>1</v>
      </c>
      <c r="AB20" s="1812">
        <v>1</v>
      </c>
      <c r="AC20" s="1812">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7"/>
      <c r="Q21" s="1811" t="str">
        <f>B21</f>
        <v>交通便捷度</v>
      </c>
      <c r="R21" s="773" t="s">
        <v>17</v>
      </c>
      <c r="S21" s="774">
        <f>F21</f>
        <v>100</v>
      </c>
      <c r="T21" s="773" t="s">
        <v>17</v>
      </c>
      <c r="U21" s="774">
        <f>H21</f>
        <v>100</v>
      </c>
      <c r="V21" s="773" t="s">
        <v>17</v>
      </c>
      <c r="W21" s="774">
        <f>J21</f>
        <v>100</v>
      </c>
      <c r="X21" s="1814"/>
      <c r="Y21" s="3207"/>
      <c r="Z21" s="1815" t="str">
        <f>Q21</f>
        <v>交通便捷度</v>
      </c>
      <c r="AA21" s="1812">
        <f t="shared" si="3"/>
        <v>1</v>
      </c>
      <c r="AB21" s="1812">
        <f t="shared" si="4"/>
        <v>1</v>
      </c>
      <c r="AC21" s="1812">
        <f t="shared" si="5"/>
        <v>1</v>
      </c>
    </row>
    <row r="22" spans="1:29" ht="15">
      <c r="A22" s="428"/>
      <c r="B22" s="1386"/>
      <c r="C22" s="447"/>
      <c r="D22" s="450"/>
      <c r="E22" s="2603"/>
      <c r="F22" s="448"/>
      <c r="G22" s="2603"/>
      <c r="H22" s="448"/>
      <c r="I22" s="2602"/>
      <c r="J22" s="448"/>
      <c r="K22" s="672"/>
      <c r="L22" s="1142"/>
      <c r="M22" s="1133"/>
      <c r="N22" s="1133"/>
      <c r="O22" s="1141"/>
      <c r="P22" s="3207"/>
      <c r="Q22" s="1811"/>
      <c r="R22" s="773"/>
      <c r="S22" s="774"/>
      <c r="T22" s="773"/>
      <c r="U22" s="774"/>
      <c r="V22" s="773"/>
      <c r="W22" s="774"/>
      <c r="X22" s="1814"/>
      <c r="Y22" s="3207"/>
      <c r="Z22" s="1815"/>
      <c r="AA22" s="1812">
        <v>1</v>
      </c>
      <c r="AB22" s="1812">
        <v>1</v>
      </c>
      <c r="AC22" s="1812">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7"/>
      <c r="Q23" s="1811" t="str">
        <f t="shared" ref="Q23:Q37" si="8">B23</f>
        <v>区域土地利用方向</v>
      </c>
      <c r="R23" s="773" t="s">
        <v>17</v>
      </c>
      <c r="S23" s="774">
        <f>F23</f>
        <v>100</v>
      </c>
      <c r="T23" s="773" t="s">
        <v>17</v>
      </c>
      <c r="U23" s="774">
        <f>H23</f>
        <v>100</v>
      </c>
      <c r="V23" s="773" t="s">
        <v>17</v>
      </c>
      <c r="W23" s="774">
        <f>J23</f>
        <v>100</v>
      </c>
      <c r="X23" s="1814"/>
      <c r="Y23" s="3207"/>
      <c r="Z23" s="1815" t="str">
        <f>Q23</f>
        <v>区域土地利用方向</v>
      </c>
      <c r="AA23" s="1812">
        <f t="shared" si="3"/>
        <v>1</v>
      </c>
      <c r="AB23" s="1812">
        <f t="shared" si="4"/>
        <v>1</v>
      </c>
      <c r="AC23" s="1812">
        <f t="shared" si="5"/>
        <v>1</v>
      </c>
    </row>
    <row r="24" spans="1:29" ht="15">
      <c r="A24" s="404"/>
      <c r="B24" s="456"/>
      <c r="C24" s="616"/>
      <c r="D24" s="448"/>
      <c r="E24" s="2603"/>
      <c r="F24" s="448"/>
      <c r="G24" s="2602"/>
      <c r="H24" s="448"/>
      <c r="I24" s="2602"/>
      <c r="J24" s="448"/>
      <c r="K24" s="811"/>
      <c r="L24" s="1142"/>
      <c r="M24" s="1133"/>
      <c r="N24" s="1133"/>
      <c r="O24" s="1141"/>
      <c r="P24" s="3207"/>
      <c r="Q24" s="1811"/>
      <c r="R24" s="773"/>
      <c r="S24" s="774"/>
      <c r="T24" s="773"/>
      <c r="U24" s="774"/>
      <c r="V24" s="773"/>
      <c r="W24" s="774"/>
      <c r="X24" s="1814"/>
      <c r="Y24" s="3207"/>
      <c r="Z24" s="1815"/>
      <c r="AA24" s="1812"/>
      <c r="AB24" s="1812"/>
      <c r="AC24" s="1812"/>
    </row>
    <row r="25" spans="1:29" ht="27">
      <c r="A25" s="404"/>
      <c r="B25" s="1386" t="s">
        <v>2740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7"/>
      <c r="Q25" s="1811" t="str">
        <f t="shared" si="8"/>
        <v>自然及人文环境状况</v>
      </c>
      <c r="R25" s="773" t="s">
        <v>17</v>
      </c>
      <c r="S25" s="774">
        <f>F25</f>
        <v>100</v>
      </c>
      <c r="T25" s="773" t="s">
        <v>17</v>
      </c>
      <c r="U25" s="774">
        <f>H25</f>
        <v>100</v>
      </c>
      <c r="V25" s="773" t="s">
        <v>17</v>
      </c>
      <c r="W25" s="774">
        <f>J25</f>
        <v>100</v>
      </c>
      <c r="X25" s="1814"/>
      <c r="Y25" s="3207"/>
      <c r="Z25" s="1815" t="str">
        <f>Q25</f>
        <v>自然及人文环境状况</v>
      </c>
      <c r="AA25" s="1812">
        <f t="shared" si="3"/>
        <v>1</v>
      </c>
      <c r="AB25" s="1812">
        <f t="shared" si="4"/>
        <v>1</v>
      </c>
      <c r="AC25" s="1812">
        <f t="shared" si="5"/>
        <v>1</v>
      </c>
    </row>
    <row r="26" spans="1:29" ht="15">
      <c r="A26" s="404"/>
      <c r="B26" s="456"/>
      <c r="C26" s="447"/>
      <c r="D26" s="448"/>
      <c r="E26" s="2609"/>
      <c r="F26" s="448"/>
      <c r="G26" s="2609"/>
      <c r="H26" s="448"/>
      <c r="I26" s="447"/>
      <c r="J26" s="448"/>
      <c r="K26" s="672"/>
      <c r="L26" s="1142"/>
      <c r="M26" s="1133"/>
      <c r="N26" s="1133"/>
      <c r="O26" s="1141"/>
      <c r="P26" s="3207"/>
      <c r="Q26" s="1811"/>
      <c r="R26" s="773"/>
      <c r="S26" s="774"/>
      <c r="T26" s="773"/>
      <c r="U26" s="774"/>
      <c r="V26" s="773"/>
      <c r="W26" s="774"/>
      <c r="X26" s="1814"/>
      <c r="Y26" s="3207"/>
      <c r="Z26" s="1815"/>
      <c r="AA26" s="1812">
        <v>1</v>
      </c>
      <c r="AB26" s="1812">
        <v>1</v>
      </c>
      <c r="AC26" s="1812">
        <v>1</v>
      </c>
    </row>
    <row r="27" spans="1:29" s="117" customFormat="1" ht="15">
      <c r="A27" s="649"/>
      <c r="B27" s="1386"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7"/>
      <c r="Q27" s="1796" t="str">
        <f t="shared" si="8"/>
        <v>公共配套设施</v>
      </c>
      <c r="R27" s="769" t="s">
        <v>17</v>
      </c>
      <c r="S27" s="770">
        <f>F27</f>
        <v>100</v>
      </c>
      <c r="T27" s="769" t="s">
        <v>17</v>
      </c>
      <c r="U27" s="770">
        <f>H27</f>
        <v>100</v>
      </c>
      <c r="V27" s="769" t="s">
        <v>17</v>
      </c>
      <c r="W27" s="770">
        <f>J27</f>
        <v>100</v>
      </c>
      <c r="X27" s="771"/>
      <c r="Y27" s="3207"/>
      <c r="Z27" s="55" t="str">
        <f>Q27</f>
        <v>公共配套设施</v>
      </c>
      <c r="AA27" s="1812">
        <f>D27/F27</f>
        <v>1</v>
      </c>
      <c r="AB27" s="1812">
        <f>D27/H27</f>
        <v>1</v>
      </c>
      <c r="AC27" s="1812">
        <f>D27/J27</f>
        <v>1</v>
      </c>
    </row>
    <row r="28" spans="1:29" s="117" customFormat="1" ht="15">
      <c r="A28" s="649"/>
      <c r="B28" s="456"/>
      <c r="C28" s="2697"/>
      <c r="D28" s="448"/>
      <c r="E28" s="2609"/>
      <c r="F28" s="448"/>
      <c r="G28" s="2609"/>
      <c r="H28" s="448"/>
      <c r="I28" s="447"/>
      <c r="J28" s="448"/>
      <c r="K28" s="672"/>
      <c r="L28" s="1134"/>
      <c r="M28" s="1135"/>
      <c r="N28" s="1135"/>
      <c r="O28" s="1136"/>
      <c r="P28" s="3207"/>
      <c r="Q28" s="1796"/>
      <c r="R28" s="769"/>
      <c r="S28" s="770"/>
      <c r="T28" s="769"/>
      <c r="U28" s="770"/>
      <c r="V28" s="769"/>
      <c r="W28" s="770"/>
      <c r="X28" s="771"/>
      <c r="Y28" s="3207"/>
      <c r="Z28" s="55"/>
      <c r="AA28" s="1812">
        <v>1</v>
      </c>
      <c r="AB28" s="1812">
        <v>1</v>
      </c>
      <c r="AC28" s="1812">
        <v>1</v>
      </c>
    </row>
    <row r="29" spans="1:29" s="117" customFormat="1" ht="15">
      <c r="A29" s="649"/>
      <c r="B29" s="1386" t="s">
        <v>2646</v>
      </c>
      <c r="C29" s="2605"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7"/>
      <c r="Q29" s="1796" t="str">
        <f t="shared" ref="Q29" si="9">B29</f>
        <v>基础设施水平</v>
      </c>
      <c r="R29" s="769" t="s">
        <v>17</v>
      </c>
      <c r="S29" s="770">
        <f>F29</f>
        <v>100</v>
      </c>
      <c r="T29" s="769" t="s">
        <v>17</v>
      </c>
      <c r="U29" s="770">
        <f>H29</f>
        <v>100</v>
      </c>
      <c r="V29" s="769" t="s">
        <v>17</v>
      </c>
      <c r="W29" s="770">
        <f>J29</f>
        <v>100</v>
      </c>
      <c r="X29" s="771"/>
      <c r="Y29" s="3207"/>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07"/>
      <c r="Q30" s="1796"/>
      <c r="R30" s="769"/>
      <c r="S30" s="770"/>
      <c r="T30" s="769"/>
      <c r="U30" s="770"/>
      <c r="V30" s="769"/>
      <c r="W30" s="770"/>
      <c r="X30" s="771"/>
      <c r="Y30" s="3207"/>
      <c r="Z30" s="55"/>
      <c r="AA30" s="1812">
        <v>1</v>
      </c>
      <c r="AB30" s="1812">
        <v>1</v>
      </c>
      <c r="AC30" s="1812">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7"/>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7"/>
      <c r="Z31" s="1815" t="str">
        <f t="shared" ref="Z31:Z45" si="13">Q31</f>
        <v>临街状况</v>
      </c>
      <c r="AA31" s="1812">
        <f t="shared" si="3"/>
        <v>1</v>
      </c>
      <c r="AB31" s="1812">
        <f t="shared" si="4"/>
        <v>1</v>
      </c>
      <c r="AC31" s="1812">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7"/>
      <c r="Q32" s="1811" t="str">
        <f t="shared" si="8"/>
        <v>毗邻道路的类型与等级</v>
      </c>
      <c r="R32" s="773" t="s">
        <v>17</v>
      </c>
      <c r="S32" s="774">
        <f t="shared" si="10"/>
        <v>100</v>
      </c>
      <c r="T32" s="773" t="s">
        <v>17</v>
      </c>
      <c r="U32" s="774">
        <f t="shared" si="11"/>
        <v>100</v>
      </c>
      <c r="V32" s="773" t="s">
        <v>17</v>
      </c>
      <c r="W32" s="774">
        <f t="shared" si="12"/>
        <v>100</v>
      </c>
      <c r="X32" s="1814"/>
      <c r="Y32" s="3207"/>
      <c r="Z32" s="1815" t="str">
        <f t="shared" si="13"/>
        <v>毗邻道路的类型与等级</v>
      </c>
      <c r="AA32" s="1812">
        <f t="shared" si="3"/>
        <v>1</v>
      </c>
      <c r="AB32" s="1812">
        <f t="shared" si="4"/>
        <v>1</v>
      </c>
      <c r="AC32" s="1812">
        <f t="shared" si="5"/>
        <v>1</v>
      </c>
    </row>
    <row r="33" spans="1:29" ht="15">
      <c r="A33" s="428"/>
      <c r="B33" s="456"/>
      <c r="C33" s="447"/>
      <c r="D33" s="448"/>
      <c r="E33" s="2609"/>
      <c r="F33" s="448"/>
      <c r="G33" s="2609"/>
      <c r="H33" s="448"/>
      <c r="I33" s="447"/>
      <c r="J33" s="448"/>
      <c r="K33" s="613"/>
      <c r="L33" s="1142"/>
      <c r="M33" s="1133"/>
      <c r="N33" s="1133"/>
      <c r="O33" s="1141"/>
      <c r="P33" s="3207"/>
      <c r="Q33" s="1811"/>
      <c r="R33" s="773"/>
      <c r="S33" s="774"/>
      <c r="T33" s="773"/>
      <c r="U33" s="774"/>
      <c r="V33" s="773"/>
      <c r="W33" s="774"/>
      <c r="X33" s="1814"/>
      <c r="Y33" s="3207"/>
      <c r="Z33" s="1815"/>
      <c r="AA33" s="1812">
        <v>1</v>
      </c>
      <c r="AB33" s="1812">
        <v>1</v>
      </c>
      <c r="AC33" s="1812">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7"/>
      <c r="Q34" s="1811" t="str">
        <f t="shared" si="8"/>
        <v>土地级别</v>
      </c>
      <c r="R34" s="773" t="s">
        <v>17</v>
      </c>
      <c r="S34" s="774">
        <f t="shared" si="10"/>
        <v>100</v>
      </c>
      <c r="T34" s="773" t="s">
        <v>17</v>
      </c>
      <c r="U34" s="774">
        <f t="shared" si="11"/>
        <v>100</v>
      </c>
      <c r="V34" s="773" t="s">
        <v>17</v>
      </c>
      <c r="W34" s="774">
        <f t="shared" si="12"/>
        <v>100</v>
      </c>
      <c r="X34" s="1814"/>
      <c r="Y34" s="3207"/>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7"/>
      <c r="Q35" s="1811">
        <f t="shared" si="8"/>
        <v>111</v>
      </c>
      <c r="R35" s="773" t="s">
        <v>17</v>
      </c>
      <c r="S35" s="774">
        <f t="shared" si="10"/>
        <v>100</v>
      </c>
      <c r="T35" s="773" t="s">
        <v>17</v>
      </c>
      <c r="U35" s="774">
        <f t="shared" si="11"/>
        <v>100</v>
      </c>
      <c r="V35" s="773" t="s">
        <v>17</v>
      </c>
      <c r="W35" s="774">
        <f t="shared" si="12"/>
        <v>100</v>
      </c>
      <c r="X35" s="1814"/>
      <c r="Y35" s="3207"/>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2556</v>
      </c>
      <c r="Q36" s="1811">
        <f t="shared" si="8"/>
        <v>111</v>
      </c>
      <c r="R36" s="773" t="s">
        <v>17</v>
      </c>
      <c r="S36" s="774">
        <f t="shared" si="10"/>
        <v>100</v>
      </c>
      <c r="T36" s="773" t="s">
        <v>17</v>
      </c>
      <c r="U36" s="774">
        <f t="shared" si="11"/>
        <v>100</v>
      </c>
      <c r="V36" s="773" t="s">
        <v>17</v>
      </c>
      <c r="W36" s="774">
        <f t="shared" si="12"/>
        <v>100</v>
      </c>
      <c r="X36" s="1814"/>
      <c r="Y36" s="3211" t="s">
        <v>2556</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1"/>
      <c r="Q37" s="1811">
        <f t="shared" si="8"/>
        <v>111</v>
      </c>
      <c r="R37" s="776" t="s">
        <v>17</v>
      </c>
      <c r="S37" s="777">
        <f t="shared" si="10"/>
        <v>100</v>
      </c>
      <c r="T37" s="776" t="s">
        <v>17</v>
      </c>
      <c r="U37" s="777">
        <f t="shared" si="11"/>
        <v>100</v>
      </c>
      <c r="V37" s="776" t="s">
        <v>17</v>
      </c>
      <c r="W37" s="777">
        <f t="shared" si="12"/>
        <v>100</v>
      </c>
      <c r="X37" s="778"/>
      <c r="Y37" s="3211"/>
      <c r="Z37" s="779">
        <f t="shared" si="13"/>
        <v>111</v>
      </c>
      <c r="AA37" s="1812">
        <f t="shared" si="3"/>
        <v>1</v>
      </c>
      <c r="AB37" s="1812">
        <f t="shared" si="4"/>
        <v>1</v>
      </c>
      <c r="AC37" s="1812">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1"/>
      <c r="Q38" s="1811" t="str">
        <f>B38</f>
        <v>宗地面积</v>
      </c>
      <c r="R38" s="773" t="s">
        <v>17</v>
      </c>
      <c r="S38" s="774" t="e">
        <f t="shared" si="10"/>
        <v>#N/A</v>
      </c>
      <c r="T38" s="773" t="s">
        <v>17</v>
      </c>
      <c r="U38" s="774" t="e">
        <f t="shared" si="11"/>
        <v>#N/A</v>
      </c>
      <c r="V38" s="773" t="s">
        <v>17</v>
      </c>
      <c r="W38" s="774" t="e">
        <f t="shared" si="12"/>
        <v>#N/A</v>
      </c>
      <c r="X38" s="1814"/>
      <c r="Y38" s="3211"/>
      <c r="Z38" s="1815" t="str">
        <f t="shared" si="13"/>
        <v>宗地面积</v>
      </c>
      <c r="AA38" s="1812" t="e">
        <f t="shared" si="3"/>
        <v>#N/A</v>
      </c>
      <c r="AB38" s="1812" t="e">
        <f t="shared" si="4"/>
        <v>#N/A</v>
      </c>
      <c r="AC38" s="1812"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2"/>
      <c r="M39" s="1133"/>
      <c r="N39" s="1133"/>
      <c r="O39" s="1141"/>
      <c r="P39" s="3211"/>
      <c r="Q39" s="1811" t="str">
        <f t="shared" ref="Q39:Q45" si="14">B39</f>
        <v>宗地形状</v>
      </c>
      <c r="R39" s="773" t="s">
        <v>17</v>
      </c>
      <c r="S39" s="774">
        <f t="shared" si="10"/>
        <v>100</v>
      </c>
      <c r="T39" s="773" t="s">
        <v>17</v>
      </c>
      <c r="U39" s="774">
        <f t="shared" si="11"/>
        <v>100</v>
      </c>
      <c r="V39" s="773" t="s">
        <v>17</v>
      </c>
      <c r="W39" s="774">
        <f t="shared" si="12"/>
        <v>100</v>
      </c>
      <c r="X39" s="1814"/>
      <c r="Y39" s="3211"/>
      <c r="Z39" s="1815" t="str">
        <f t="shared" si="13"/>
        <v>宗地形状</v>
      </c>
      <c r="AA39" s="1812">
        <f t="shared" si="3"/>
        <v>1</v>
      </c>
      <c r="AB39" s="1812">
        <f t="shared" si="4"/>
        <v>1</v>
      </c>
      <c r="AC39" s="1812">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2"/>
      <c r="M40" s="1133"/>
      <c r="N40" s="1133"/>
      <c r="O40" s="1141"/>
      <c r="P40" s="3211"/>
      <c r="Q40" s="1811" t="str">
        <f t="shared" si="14"/>
        <v>临街宽度及深度</v>
      </c>
      <c r="R40" s="773" t="s">
        <v>17</v>
      </c>
      <c r="S40" s="774">
        <f t="shared" si="10"/>
        <v>100</v>
      </c>
      <c r="T40" s="773" t="s">
        <v>17</v>
      </c>
      <c r="U40" s="774">
        <f t="shared" si="11"/>
        <v>100</v>
      </c>
      <c r="V40" s="773" t="s">
        <v>17</v>
      </c>
      <c r="W40" s="774">
        <f t="shared" si="12"/>
        <v>100</v>
      </c>
      <c r="X40" s="1814"/>
      <c r="Y40" s="3211"/>
      <c r="Z40" s="1815" t="str">
        <f t="shared" si="13"/>
        <v>临街宽度及深度</v>
      </c>
      <c r="AA40" s="1812">
        <f t="shared" si="3"/>
        <v>1</v>
      </c>
      <c r="AB40" s="1812">
        <f t="shared" si="4"/>
        <v>1</v>
      </c>
      <c r="AC40" s="1812">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11"/>
      <c r="Q41" s="1811"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2"/>
      <c r="M42" s="1133"/>
      <c r="N42" s="1133"/>
      <c r="O42" s="1141"/>
      <c r="P42" s="3211" t="s">
        <v>2556</v>
      </c>
      <c r="Q42" s="1811" t="str">
        <f t="shared" si="14"/>
        <v>工程地质条件</v>
      </c>
      <c r="R42" s="773" t="s">
        <v>17</v>
      </c>
      <c r="S42" s="774">
        <f t="shared" si="10"/>
        <v>100</v>
      </c>
      <c r="T42" s="773" t="s">
        <v>17</v>
      </c>
      <c r="U42" s="774">
        <f t="shared" si="11"/>
        <v>100</v>
      </c>
      <c r="V42" s="773" t="s">
        <v>17</v>
      </c>
      <c r="W42" s="774">
        <f t="shared" si="12"/>
        <v>100</v>
      </c>
      <c r="X42" s="1814"/>
      <c r="Y42" s="3211" t="s">
        <v>2556</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1"/>
      <c r="Q43" s="1811">
        <f t="shared" si="14"/>
        <v>111</v>
      </c>
      <c r="R43" s="773" t="s">
        <v>17</v>
      </c>
      <c r="S43" s="774">
        <f t="shared" si="10"/>
        <v>100</v>
      </c>
      <c r="T43" s="773" t="s">
        <v>17</v>
      </c>
      <c r="U43" s="774">
        <f t="shared" si="11"/>
        <v>100</v>
      </c>
      <c r="V43" s="773" t="s">
        <v>17</v>
      </c>
      <c r="W43" s="774">
        <f t="shared" si="12"/>
        <v>100</v>
      </c>
      <c r="X43" s="1814"/>
      <c r="Y43" s="3211"/>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1"/>
      <c r="Q44" s="1811">
        <f t="shared" si="14"/>
        <v>111</v>
      </c>
      <c r="R44" s="773" t="s">
        <v>17</v>
      </c>
      <c r="S44" s="774">
        <f t="shared" si="10"/>
        <v>100</v>
      </c>
      <c r="T44" s="773" t="s">
        <v>17</v>
      </c>
      <c r="U44" s="774">
        <f t="shared" si="11"/>
        <v>100</v>
      </c>
      <c r="V44" s="773" t="s">
        <v>17</v>
      </c>
      <c r="W44" s="774">
        <f t="shared" si="12"/>
        <v>100</v>
      </c>
      <c r="X44" s="1814"/>
      <c r="Y44" s="3211"/>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1"/>
      <c r="Q45" s="1811">
        <f t="shared" si="14"/>
        <v>111</v>
      </c>
      <c r="R45" s="776" t="s">
        <v>17</v>
      </c>
      <c r="S45" s="777">
        <f t="shared" si="10"/>
        <v>100</v>
      </c>
      <c r="T45" s="776" t="s">
        <v>17</v>
      </c>
      <c r="U45" s="777">
        <f t="shared" si="11"/>
        <v>100</v>
      </c>
      <c r="V45" s="776" t="s">
        <v>17</v>
      </c>
      <c r="W45" s="777">
        <f t="shared" si="12"/>
        <v>100</v>
      </c>
      <c r="X45" s="778"/>
      <c r="Y45" s="3211"/>
      <c r="Z45" s="779">
        <f t="shared" si="13"/>
        <v>111</v>
      </c>
      <c r="AA45" s="1812">
        <f t="shared" si="3"/>
        <v>1</v>
      </c>
      <c r="AB45" s="1812">
        <f t="shared" si="4"/>
        <v>1</v>
      </c>
      <c r="AC45" s="1812">
        <f t="shared" si="5"/>
        <v>1</v>
      </c>
    </row>
    <row r="46" spans="1:29" ht="15">
      <c r="A46" s="479" t="s">
        <v>2711</v>
      </c>
      <c r="B46" s="2701" t="s">
        <v>2747</v>
      </c>
      <c r="C46" s="682" t="s">
        <v>1</v>
      </c>
      <c r="D46" s="481"/>
      <c r="E46" s="482"/>
      <c r="F46" s="483"/>
      <c r="G46" s="484"/>
      <c r="H46" s="485"/>
      <c r="I46" s="482"/>
      <c r="J46" s="485"/>
      <c r="K46" s="782"/>
      <c r="L46" s="1145"/>
      <c r="M46" s="1146"/>
      <c r="N46" s="1133"/>
      <c r="O46" s="1146"/>
      <c r="P46" s="3213" t="str">
        <f>A46</f>
        <v>成交单价</v>
      </c>
      <c r="Q46" s="3213"/>
      <c r="R46" s="3175">
        <f>E46</f>
        <v>0</v>
      </c>
      <c r="S46" s="3175"/>
      <c r="T46" s="3175">
        <f>G46</f>
        <v>0</v>
      </c>
      <c r="U46" s="3175"/>
      <c r="V46" s="3175">
        <f>I46</f>
        <v>0</v>
      </c>
      <c r="W46" s="3175"/>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213" t="str">
        <f>A47</f>
        <v>比较价值（元/平方米）</v>
      </c>
      <c r="Q47" s="3213"/>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215" t="str">
        <f>A48</f>
        <v>估价对象XX用房的比较价值（楼面单价，元/平方米）</v>
      </c>
      <c r="Q48" s="3216"/>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2" t="s">
        <v>2751</v>
      </c>
      <c r="D55" s="2703" t="s">
        <v>2752</v>
      </c>
      <c r="E55" s="686" t="s">
        <v>2753</v>
      </c>
      <c r="F55" s="1109" t="s">
        <v>2754</v>
      </c>
      <c r="G55" s="3191" t="s">
        <v>2755</v>
      </c>
      <c r="H55" s="3276"/>
      <c r="I55" s="144" t="s">
        <v>2756</v>
      </c>
      <c r="J55" s="2704">
        <f>项目基本情况!F35</f>
        <v>0</v>
      </c>
      <c r="K55" s="2705" t="s">
        <v>2757</v>
      </c>
      <c r="L55" s="1108"/>
      <c r="M55" s="1146"/>
      <c r="N55" s="1146"/>
      <c r="O55" s="1146"/>
    </row>
    <row r="56" spans="1:15" s="692" customFormat="1">
      <c r="A56" s="688" t="s">
        <v>2758</v>
      </c>
      <c r="B56" s="689" t="e">
        <f>C48</f>
        <v>#DIV/0!</v>
      </c>
      <c r="C56" s="690">
        <v>1</v>
      </c>
      <c r="D56" s="1165">
        <v>1</v>
      </c>
      <c r="E56" s="690">
        <f>'数据-汇总表'!E8+'数据-汇总表'!E9</f>
        <v>582.44000000000005</v>
      </c>
      <c r="F56" s="1105" t="e">
        <f t="shared" ref="F56:F65" si="15">ROUND(B56*E56/10000,0)</f>
        <v>#DIV/0!</v>
      </c>
      <c r="G56" s="3190"/>
      <c r="H56" s="3213"/>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77"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6"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6"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07"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582.44000000000005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08"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9"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1" t="s">
        <v>2637</v>
      </c>
      <c r="D4" s="3192"/>
      <c r="E4" s="3193" t="s">
        <v>2638</v>
      </c>
      <c r="F4" s="3194"/>
      <c r="G4" s="3191" t="s">
        <v>2639</v>
      </c>
      <c r="H4" s="3192"/>
      <c r="I4" s="3191" t="s">
        <v>2640</v>
      </c>
      <c r="J4" s="3192"/>
      <c r="K4" s="610" t="s">
        <v>2641</v>
      </c>
      <c r="L4" s="1132"/>
      <c r="M4" s="1133"/>
      <c r="N4" s="1133"/>
      <c r="O4" s="1133"/>
      <c r="P4" s="3195" t="s">
        <v>2642</v>
      </c>
      <c r="Q4" s="3196"/>
      <c r="R4" s="3178" t="s">
        <v>2638</v>
      </c>
      <c r="S4" s="3179"/>
      <c r="T4" s="3178" t="s">
        <v>2639</v>
      </c>
      <c r="U4" s="3179"/>
      <c r="V4" s="3175" t="s">
        <v>2640</v>
      </c>
      <c r="W4" s="3175"/>
      <c r="X4" s="1814"/>
      <c r="Y4" s="3178" t="s">
        <v>2642</v>
      </c>
      <c r="Z4" s="3179"/>
      <c r="AA4" s="3172" t="s">
        <v>2638</v>
      </c>
      <c r="AB4" s="3173" t="s">
        <v>2639</v>
      </c>
      <c r="AC4" s="3172" t="s">
        <v>2640</v>
      </c>
    </row>
    <row r="5" spans="1:29" ht="15">
      <c r="A5" s="404"/>
      <c r="B5" s="405"/>
      <c r="C5" s="3240" t="s">
        <v>2533</v>
      </c>
      <c r="D5" s="3241"/>
      <c r="E5" s="3259" t="s">
        <v>2534</v>
      </c>
      <c r="F5" s="3260"/>
      <c r="G5" s="3240" t="s">
        <v>2535</v>
      </c>
      <c r="H5" s="3241"/>
      <c r="I5" s="3240" t="s">
        <v>2536</v>
      </c>
      <c r="J5" s="3241"/>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186" t="s">
        <v>2788</v>
      </c>
      <c r="D6" s="3187"/>
      <c r="E6" s="3188" t="s">
        <v>2788</v>
      </c>
      <c r="F6" s="3189"/>
      <c r="G6" s="3186" t="s">
        <v>2788</v>
      </c>
      <c r="H6" s="3187"/>
      <c r="I6" s="3186" t="s">
        <v>2788</v>
      </c>
      <c r="J6" s="3187"/>
      <c r="K6" s="610" t="s">
        <v>2538</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2539</v>
      </c>
      <c r="B7" s="409"/>
      <c r="C7" s="410">
        <f>'数据-取费表'!B2</f>
        <v>43316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176" t="s">
        <v>2540</v>
      </c>
      <c r="Q7" s="3203"/>
      <c r="R7" s="769" t="s">
        <v>17</v>
      </c>
      <c r="S7" s="770">
        <f t="shared" ref="S7:S15" si="0">F7</f>
        <v>0</v>
      </c>
      <c r="T7" s="769" t="s">
        <v>17</v>
      </c>
      <c r="U7" s="770">
        <f t="shared" ref="U7:U15" si="1">H7</f>
        <v>0</v>
      </c>
      <c r="V7" s="769" t="s">
        <v>17</v>
      </c>
      <c r="W7" s="770">
        <f t="shared" ref="W7:W15" si="2">J7</f>
        <v>0</v>
      </c>
      <c r="X7" s="771"/>
      <c r="Y7" s="3176" t="s">
        <v>2540</v>
      </c>
      <c r="Z7" s="3177"/>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76" t="s">
        <v>2543</v>
      </c>
      <c r="Q8" s="3177"/>
      <c r="R8" s="769" t="s">
        <v>17</v>
      </c>
      <c r="S8" s="770">
        <f t="shared" si="0"/>
        <v>0</v>
      </c>
      <c r="T8" s="769" t="s">
        <v>17</v>
      </c>
      <c r="U8" s="770">
        <f t="shared" si="1"/>
        <v>0</v>
      </c>
      <c r="V8" s="769" t="s">
        <v>17</v>
      </c>
      <c r="W8" s="770">
        <f t="shared" si="2"/>
        <v>0</v>
      </c>
      <c r="X8" s="771"/>
      <c r="Y8" s="3176" t="s">
        <v>2543</v>
      </c>
      <c r="Z8" s="3177"/>
      <c r="AA8" s="772" t="e">
        <f t="shared" ref="AA8:AA40" si="3">D8/F8</f>
        <v>#DIV/0!</v>
      </c>
      <c r="AB8" s="772" t="e">
        <f t="shared" ref="AB8:AB40" si="4">D8/H8</f>
        <v>#DIV/0!</v>
      </c>
      <c r="AC8" s="772"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3" t="s">
        <v>2546</v>
      </c>
      <c r="Q9" s="1796" t="str">
        <f t="shared" ref="Q9:Q15" si="6">B9</f>
        <v>用途</v>
      </c>
      <c r="R9" s="769" t="s">
        <v>17</v>
      </c>
      <c r="S9" s="770">
        <f t="shared" si="0"/>
        <v>100</v>
      </c>
      <c r="T9" s="769" t="s">
        <v>17</v>
      </c>
      <c r="U9" s="770">
        <f t="shared" si="1"/>
        <v>100</v>
      </c>
      <c r="V9" s="769" t="s">
        <v>17</v>
      </c>
      <c r="W9" s="770">
        <f t="shared" si="2"/>
        <v>100</v>
      </c>
      <c r="X9" s="771"/>
      <c r="Y9" s="3049"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213"/>
      <c r="Q10" s="1796" t="str">
        <f t="shared" si="6"/>
        <v>土地使用年限（年）</v>
      </c>
      <c r="R10" s="769" t="s">
        <v>17</v>
      </c>
      <c r="S10" s="770">
        <f t="shared" si="0"/>
        <v>109</v>
      </c>
      <c r="T10" s="769" t="s">
        <v>17</v>
      </c>
      <c r="U10" s="770">
        <f t="shared" si="1"/>
        <v>109</v>
      </c>
      <c r="V10" s="769" t="s">
        <v>17</v>
      </c>
      <c r="W10" s="770">
        <f t="shared" si="2"/>
        <v>109</v>
      </c>
      <c r="X10" s="771"/>
      <c r="Y10" s="3049"/>
      <c r="Z10" s="55" t="str">
        <f t="shared" si="7"/>
        <v>土地使用年限（年）</v>
      </c>
      <c r="AA10" s="772">
        <f t="shared" si="3"/>
        <v>0.91743119266055051</v>
      </c>
      <c r="AB10" s="772">
        <f t="shared" si="4"/>
        <v>0.91743119266055051</v>
      </c>
      <c r="AC10" s="772">
        <f t="shared" si="5"/>
        <v>0.91743119266055051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3"/>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3"/>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3"/>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3"/>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2550</v>
      </c>
      <c r="B15" s="629" t="s">
        <v>2789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6" t="s">
        <v>2551</v>
      </c>
      <c r="Q15" s="1811" t="str">
        <f t="shared" si="6"/>
        <v>产业集聚程度</v>
      </c>
      <c r="R15" s="773" t="s">
        <v>17</v>
      </c>
      <c r="S15" s="774">
        <f t="shared" si="0"/>
        <v>100</v>
      </c>
      <c r="T15" s="773" t="s">
        <v>17</v>
      </c>
      <c r="U15" s="774">
        <f t="shared" si="1"/>
        <v>100</v>
      </c>
      <c r="V15" s="773" t="s">
        <v>17</v>
      </c>
      <c r="W15" s="774">
        <f t="shared" si="2"/>
        <v>100</v>
      </c>
      <c r="X15" s="1814"/>
      <c r="Y15" s="3206" t="s">
        <v>2551</v>
      </c>
      <c r="Z15" s="1815" t="str">
        <f t="shared" si="7"/>
        <v>产业集聚程度</v>
      </c>
      <c r="AA15" s="1812">
        <f t="shared" si="3"/>
        <v>1</v>
      </c>
      <c r="AB15" s="1812">
        <f t="shared" si="4"/>
        <v>1</v>
      </c>
      <c r="AC15" s="1812">
        <f t="shared" si="5"/>
        <v>1</v>
      </c>
    </row>
    <row r="16" spans="1:29" ht="15">
      <c r="A16" s="428"/>
      <c r="B16" s="630"/>
      <c r="C16" s="447"/>
      <c r="D16" s="448"/>
      <c r="E16" s="2609"/>
      <c r="F16" s="448"/>
      <c r="G16" s="2609"/>
      <c r="H16" s="450"/>
      <c r="I16" s="2609"/>
      <c r="J16" s="448"/>
      <c r="K16" s="672"/>
      <c r="L16" s="1142"/>
      <c r="M16" s="1133"/>
      <c r="N16" s="1133"/>
      <c r="O16" s="1141"/>
      <c r="P16" s="3207"/>
      <c r="Q16" s="1811"/>
      <c r="R16" s="773"/>
      <c r="S16" s="774"/>
      <c r="T16" s="773"/>
      <c r="U16" s="774"/>
      <c r="V16" s="773"/>
      <c r="W16" s="774"/>
      <c r="X16" s="1814"/>
      <c r="Y16" s="3207"/>
      <c r="Z16" s="1815"/>
      <c r="AA16" s="1812">
        <v>1</v>
      </c>
      <c r="AB16" s="1812">
        <v>1</v>
      </c>
      <c r="AC16" s="1812">
        <v>1</v>
      </c>
    </row>
    <row r="17" spans="1:29" ht="1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7"/>
      <c r="Q17" s="1811" t="str">
        <f>B17</f>
        <v>交通便捷度</v>
      </c>
      <c r="R17" s="773" t="s">
        <v>17</v>
      </c>
      <c r="S17" s="774">
        <f>F17</f>
        <v>100</v>
      </c>
      <c r="T17" s="773" t="s">
        <v>17</v>
      </c>
      <c r="U17" s="774">
        <f>H17</f>
        <v>100</v>
      </c>
      <c r="V17" s="773" t="s">
        <v>17</v>
      </c>
      <c r="W17" s="774">
        <f>J17</f>
        <v>100</v>
      </c>
      <c r="X17" s="1814"/>
      <c r="Y17" s="3207"/>
      <c r="Z17" s="1815" t="str">
        <f>Q17</f>
        <v>交通便捷度</v>
      </c>
      <c r="AA17" s="1812">
        <f t="shared" si="3"/>
        <v>1</v>
      </c>
      <c r="AB17" s="1812">
        <f t="shared" si="4"/>
        <v>1</v>
      </c>
      <c r="AC17" s="1812">
        <f t="shared" si="5"/>
        <v>1</v>
      </c>
    </row>
    <row r="18" spans="1:29" ht="15">
      <c r="A18" s="428"/>
      <c r="B18" s="632"/>
      <c r="C18" s="447"/>
      <c r="D18" s="448"/>
      <c r="E18" s="2603"/>
      <c r="F18" s="448"/>
      <c r="G18" s="2603"/>
      <c r="H18" s="448"/>
      <c r="I18" s="2602"/>
      <c r="J18" s="448"/>
      <c r="K18" s="672"/>
      <c r="L18" s="1142"/>
      <c r="M18" s="1133"/>
      <c r="N18" s="1133"/>
      <c r="O18" s="1141"/>
      <c r="P18" s="3207"/>
      <c r="Q18" s="1811"/>
      <c r="R18" s="773"/>
      <c r="S18" s="774"/>
      <c r="T18" s="773"/>
      <c r="U18" s="774"/>
      <c r="V18" s="773"/>
      <c r="W18" s="774"/>
      <c r="X18" s="1814"/>
      <c r="Y18" s="3207"/>
      <c r="Z18" s="1815"/>
      <c r="AA18" s="1812">
        <v>1</v>
      </c>
      <c r="AB18" s="1812">
        <v>1</v>
      </c>
      <c r="AC18" s="1812">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7"/>
      <c r="Q19" s="1811" t="str">
        <f t="shared" ref="Q19:Q33" si="8">B19</f>
        <v>区域土地利用方向</v>
      </c>
      <c r="R19" s="773" t="s">
        <v>17</v>
      </c>
      <c r="S19" s="774">
        <f>F19</f>
        <v>100</v>
      </c>
      <c r="T19" s="773" t="s">
        <v>17</v>
      </c>
      <c r="U19" s="774">
        <f>H19</f>
        <v>100</v>
      </c>
      <c r="V19" s="773" t="s">
        <v>17</v>
      </c>
      <c r="W19" s="774">
        <f>J19</f>
        <v>100</v>
      </c>
      <c r="X19" s="1814"/>
      <c r="Y19" s="3207"/>
      <c r="Z19" s="1815" t="str">
        <f>Q19</f>
        <v>区域土地利用方向</v>
      </c>
      <c r="AA19" s="1812">
        <f t="shared" si="3"/>
        <v>1</v>
      </c>
      <c r="AB19" s="1812">
        <f t="shared" si="4"/>
        <v>1</v>
      </c>
      <c r="AC19" s="1812">
        <f t="shared" si="5"/>
        <v>1</v>
      </c>
    </row>
    <row r="20" spans="1:29" ht="15">
      <c r="A20" s="404"/>
      <c r="B20" s="632"/>
      <c r="C20" s="447"/>
      <c r="D20" s="448"/>
      <c r="E20" s="2603"/>
      <c r="F20" s="448"/>
      <c r="G20" s="2603"/>
      <c r="H20" s="448"/>
      <c r="I20" s="2603"/>
      <c r="J20" s="448"/>
      <c r="K20" s="811"/>
      <c r="L20" s="1142"/>
      <c r="M20" s="1133"/>
      <c r="N20" s="1133"/>
      <c r="O20" s="1141"/>
      <c r="P20" s="3207"/>
      <c r="Q20" s="1811"/>
      <c r="R20" s="773"/>
      <c r="S20" s="774"/>
      <c r="T20" s="773"/>
      <c r="U20" s="774"/>
      <c r="V20" s="773"/>
      <c r="W20" s="774"/>
      <c r="X20" s="1814"/>
      <c r="Y20" s="3207"/>
      <c r="Z20" s="1815"/>
      <c r="AA20" s="1812"/>
      <c r="AB20" s="1812"/>
      <c r="AC20" s="1812"/>
    </row>
    <row r="21" spans="1:29" ht="15">
      <c r="A21" s="404"/>
      <c r="B21" s="631" t="s">
        <v>2790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7"/>
      <c r="Q21" s="1811" t="str">
        <f t="shared" si="8"/>
        <v>环境状况</v>
      </c>
      <c r="R21" s="773" t="s">
        <v>17</v>
      </c>
      <c r="S21" s="774">
        <f>F21</f>
        <v>100</v>
      </c>
      <c r="T21" s="773" t="s">
        <v>17</v>
      </c>
      <c r="U21" s="774">
        <f>H21</f>
        <v>100</v>
      </c>
      <c r="V21" s="773" t="s">
        <v>17</v>
      </c>
      <c r="W21" s="774">
        <f>J21</f>
        <v>100</v>
      </c>
      <c r="X21" s="1814"/>
      <c r="Y21" s="3207"/>
      <c r="Z21" s="1815" t="str">
        <f>Q21</f>
        <v>环境状况</v>
      </c>
      <c r="AA21" s="1812">
        <f t="shared" si="3"/>
        <v>1</v>
      </c>
      <c r="AB21" s="1812">
        <f t="shared" si="4"/>
        <v>1</v>
      </c>
      <c r="AC21" s="1812">
        <f t="shared" si="5"/>
        <v>1</v>
      </c>
    </row>
    <row r="22" spans="1:29" ht="15">
      <c r="A22" s="404"/>
      <c r="B22" s="632"/>
      <c r="C22" s="447"/>
      <c r="D22" s="448"/>
      <c r="E22" s="2609"/>
      <c r="F22" s="448"/>
      <c r="G22" s="2609"/>
      <c r="H22" s="448"/>
      <c r="I22" s="447"/>
      <c r="J22" s="448"/>
      <c r="K22" s="672"/>
      <c r="L22" s="1142"/>
      <c r="M22" s="1133"/>
      <c r="N22" s="1133"/>
      <c r="O22" s="1141"/>
      <c r="P22" s="3207"/>
      <c r="Q22" s="1811"/>
      <c r="R22" s="773"/>
      <c r="S22" s="774"/>
      <c r="T22" s="773"/>
      <c r="U22" s="774"/>
      <c r="V22" s="773"/>
      <c r="W22" s="774"/>
      <c r="X22" s="1814"/>
      <c r="Y22" s="3207"/>
      <c r="Z22" s="1815"/>
      <c r="AA22" s="1812">
        <v>1</v>
      </c>
      <c r="AB22" s="1812">
        <v>1</v>
      </c>
      <c r="AC22" s="1812">
        <v>1</v>
      </c>
    </row>
    <row r="23" spans="1:29" s="117" customFormat="1" ht="1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7"/>
      <c r="Q23" s="1796" t="str">
        <f t="shared" si="8"/>
        <v>公共配套设施</v>
      </c>
      <c r="R23" s="769" t="s">
        <v>17</v>
      </c>
      <c r="S23" s="770">
        <f>F23</f>
        <v>100</v>
      </c>
      <c r="T23" s="769" t="s">
        <v>17</v>
      </c>
      <c r="U23" s="770">
        <f>H23</f>
        <v>100</v>
      </c>
      <c r="V23" s="769" t="s">
        <v>17</v>
      </c>
      <c r="W23" s="770">
        <f>J23</f>
        <v>100</v>
      </c>
      <c r="X23" s="771"/>
      <c r="Y23" s="3207"/>
      <c r="Z23" s="55" t="str">
        <f>Q23</f>
        <v>公共配套设施</v>
      </c>
      <c r="AA23" s="1812">
        <f>D23/F23</f>
        <v>1</v>
      </c>
      <c r="AB23" s="1812">
        <f>D23/H23</f>
        <v>1</v>
      </c>
      <c r="AC23" s="1812">
        <f>D23/J23</f>
        <v>1</v>
      </c>
    </row>
    <row r="24" spans="1:29" s="117" customFormat="1" ht="15">
      <c r="A24" s="649"/>
      <c r="B24" s="632"/>
      <c r="C24" s="2697"/>
      <c r="D24" s="448"/>
      <c r="E24" s="2609"/>
      <c r="F24" s="448"/>
      <c r="G24" s="2609"/>
      <c r="H24" s="448"/>
      <c r="I24" s="447"/>
      <c r="J24" s="448"/>
      <c r="K24" s="672"/>
      <c r="L24" s="1134"/>
      <c r="M24" s="1135"/>
      <c r="N24" s="1135"/>
      <c r="O24" s="1136"/>
      <c r="P24" s="3207"/>
      <c r="Q24" s="1796"/>
      <c r="R24" s="769"/>
      <c r="S24" s="770"/>
      <c r="T24" s="769"/>
      <c r="U24" s="770"/>
      <c r="V24" s="769"/>
      <c r="W24" s="770"/>
      <c r="X24" s="771"/>
      <c r="Y24" s="3207"/>
      <c r="Z24" s="55"/>
      <c r="AA24" s="772">
        <v>1</v>
      </c>
      <c r="AB24" s="772">
        <v>1</v>
      </c>
      <c r="AC24" s="772">
        <v>1</v>
      </c>
    </row>
    <row r="25" spans="1:29" s="117" customFormat="1" ht="1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7"/>
      <c r="Q25" s="1796" t="str">
        <f t="shared" ref="Q25" si="9">B25</f>
        <v>基础设施水平</v>
      </c>
      <c r="R25" s="769" t="s">
        <v>17</v>
      </c>
      <c r="S25" s="770">
        <f>F25</f>
        <v>100</v>
      </c>
      <c r="T25" s="769" t="s">
        <v>17</v>
      </c>
      <c r="U25" s="770">
        <f>H25</f>
        <v>100</v>
      </c>
      <c r="V25" s="769" t="s">
        <v>17</v>
      </c>
      <c r="W25" s="770">
        <f>J25</f>
        <v>100</v>
      </c>
      <c r="X25" s="771"/>
      <c r="Y25" s="3207"/>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7"/>
      <c r="Q26" s="1796"/>
      <c r="R26" s="769"/>
      <c r="S26" s="770"/>
      <c r="T26" s="769"/>
      <c r="U26" s="770"/>
      <c r="V26" s="769"/>
      <c r="W26" s="770"/>
      <c r="X26" s="771"/>
      <c r="Y26" s="3207"/>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7"/>
      <c r="Z27" s="1815" t="str">
        <f t="shared" ref="Z27:Z40" si="13">Q27</f>
        <v>临街状况</v>
      </c>
      <c r="AA27" s="1812">
        <f t="shared" si="3"/>
        <v>1</v>
      </c>
      <c r="AB27" s="1812">
        <f t="shared" si="4"/>
        <v>1</v>
      </c>
      <c r="AC27" s="1812">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7"/>
      <c r="Q28" s="1811" t="str">
        <f t="shared" si="8"/>
        <v>毗邻道路的类型与等级</v>
      </c>
      <c r="R28" s="773" t="s">
        <v>17</v>
      </c>
      <c r="S28" s="774">
        <f t="shared" si="10"/>
        <v>100</v>
      </c>
      <c r="T28" s="773" t="s">
        <v>17</v>
      </c>
      <c r="U28" s="774">
        <f t="shared" si="11"/>
        <v>100</v>
      </c>
      <c r="V28" s="773" t="s">
        <v>17</v>
      </c>
      <c r="W28" s="774">
        <f t="shared" si="12"/>
        <v>100</v>
      </c>
      <c r="X28" s="1814"/>
      <c r="Y28" s="3207"/>
      <c r="Z28" s="1815" t="str">
        <f t="shared" si="13"/>
        <v>毗邻道路的类型与等级</v>
      </c>
      <c r="AA28" s="1812">
        <f t="shared" si="3"/>
        <v>1</v>
      </c>
      <c r="AB28" s="1812">
        <f t="shared" si="4"/>
        <v>1</v>
      </c>
      <c r="AC28" s="1812">
        <f t="shared" si="5"/>
        <v>1</v>
      </c>
    </row>
    <row r="29" spans="1:29" ht="15">
      <c r="A29" s="428"/>
      <c r="B29" s="632"/>
      <c r="C29" s="447"/>
      <c r="D29" s="448"/>
      <c r="E29" s="2609"/>
      <c r="F29" s="448"/>
      <c r="G29" s="2609"/>
      <c r="H29" s="448"/>
      <c r="I29" s="2609"/>
      <c r="J29" s="448"/>
      <c r="K29" s="613"/>
      <c r="L29" s="1142"/>
      <c r="M29" s="1133"/>
      <c r="N29" s="1133"/>
      <c r="O29" s="1141"/>
      <c r="P29" s="3207"/>
      <c r="Q29" s="1811"/>
      <c r="R29" s="773"/>
      <c r="S29" s="774"/>
      <c r="T29" s="773"/>
      <c r="U29" s="774"/>
      <c r="V29" s="773"/>
      <c r="W29" s="774"/>
      <c r="X29" s="1814"/>
      <c r="Y29" s="3207"/>
      <c r="Z29" s="1815"/>
      <c r="AA29" s="1812">
        <v>1</v>
      </c>
      <c r="AB29" s="1812">
        <v>1</v>
      </c>
      <c r="AC29" s="1812">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7"/>
      <c r="Q30" s="1811" t="str">
        <f t="shared" si="8"/>
        <v>土地级别</v>
      </c>
      <c r="R30" s="773" t="s">
        <v>17</v>
      </c>
      <c r="S30" s="774">
        <f t="shared" si="10"/>
        <v>100</v>
      </c>
      <c r="T30" s="773" t="s">
        <v>17</v>
      </c>
      <c r="U30" s="774">
        <f t="shared" si="11"/>
        <v>100</v>
      </c>
      <c r="V30" s="773" t="s">
        <v>17</v>
      </c>
      <c r="W30" s="774">
        <f t="shared" si="12"/>
        <v>100</v>
      </c>
      <c r="X30" s="1814"/>
      <c r="Y30" s="3207"/>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7"/>
      <c r="Q31" s="1811">
        <f t="shared" si="8"/>
        <v>111</v>
      </c>
      <c r="R31" s="773" t="s">
        <v>17</v>
      </c>
      <c r="S31" s="774">
        <f t="shared" si="10"/>
        <v>100</v>
      </c>
      <c r="T31" s="773" t="s">
        <v>17</v>
      </c>
      <c r="U31" s="774">
        <f t="shared" si="11"/>
        <v>100</v>
      </c>
      <c r="V31" s="773" t="s">
        <v>17</v>
      </c>
      <c r="W31" s="774">
        <f t="shared" si="12"/>
        <v>100</v>
      </c>
      <c r="X31" s="1814"/>
      <c r="Y31" s="3207"/>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2556</v>
      </c>
      <c r="Q32" s="1811">
        <f t="shared" si="8"/>
        <v>111</v>
      </c>
      <c r="R32" s="773" t="s">
        <v>17</v>
      </c>
      <c r="S32" s="774">
        <f t="shared" si="10"/>
        <v>100</v>
      </c>
      <c r="T32" s="773" t="s">
        <v>17</v>
      </c>
      <c r="U32" s="774">
        <f t="shared" si="11"/>
        <v>100</v>
      </c>
      <c r="V32" s="773" t="s">
        <v>17</v>
      </c>
      <c r="W32" s="774">
        <f t="shared" si="12"/>
        <v>100</v>
      </c>
      <c r="X32" s="1814"/>
      <c r="Y32" s="3211" t="s">
        <v>2556</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1"/>
      <c r="Q33" s="1811">
        <f t="shared" si="8"/>
        <v>111</v>
      </c>
      <c r="R33" s="776" t="s">
        <v>17</v>
      </c>
      <c r="S33" s="777">
        <f t="shared" si="10"/>
        <v>100</v>
      </c>
      <c r="T33" s="776" t="s">
        <v>17</v>
      </c>
      <c r="U33" s="777">
        <f t="shared" si="11"/>
        <v>100</v>
      </c>
      <c r="V33" s="776" t="s">
        <v>17</v>
      </c>
      <c r="W33" s="777">
        <f t="shared" si="12"/>
        <v>100</v>
      </c>
      <c r="X33" s="778"/>
      <c r="Y33" s="3211"/>
      <c r="Z33" s="779">
        <f t="shared" si="13"/>
        <v>111</v>
      </c>
      <c r="AA33" s="1812">
        <f t="shared" si="3"/>
        <v>1</v>
      </c>
      <c r="AB33" s="1812">
        <f t="shared" si="4"/>
        <v>1</v>
      </c>
      <c r="AC33" s="1812">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1"/>
      <c r="Q34" s="1811" t="str">
        <f>B34</f>
        <v>宗地面积</v>
      </c>
      <c r="R34" s="773" t="s">
        <v>17</v>
      </c>
      <c r="S34" s="774" t="e">
        <f t="shared" si="10"/>
        <v>#N/A</v>
      </c>
      <c r="T34" s="773" t="s">
        <v>17</v>
      </c>
      <c r="U34" s="774" t="e">
        <f t="shared" si="11"/>
        <v>#N/A</v>
      </c>
      <c r="V34" s="773" t="s">
        <v>17</v>
      </c>
      <c r="W34" s="774" t="e">
        <f t="shared" si="12"/>
        <v>#N/A</v>
      </c>
      <c r="X34" s="1814"/>
      <c r="Y34" s="3211"/>
      <c r="Z34" s="1815" t="str">
        <f t="shared" si="13"/>
        <v>宗地面积</v>
      </c>
      <c r="AA34" s="1812" t="e">
        <f t="shared" si="3"/>
        <v>#N/A</v>
      </c>
      <c r="AB34" s="1812" t="e">
        <f t="shared" si="4"/>
        <v>#N/A</v>
      </c>
      <c r="AC34" s="1812"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2"/>
      <c r="M35" s="1133"/>
      <c r="N35" s="1133"/>
      <c r="O35" s="1141"/>
      <c r="P35" s="3211"/>
      <c r="Q35" s="1811" t="str">
        <f t="shared" ref="Q35:Q40" si="14">B35</f>
        <v>宗地形状</v>
      </c>
      <c r="R35" s="773" t="s">
        <v>17</v>
      </c>
      <c r="S35" s="774">
        <f t="shared" si="10"/>
        <v>100</v>
      </c>
      <c r="T35" s="773" t="s">
        <v>17</v>
      </c>
      <c r="U35" s="774">
        <f t="shared" si="11"/>
        <v>100</v>
      </c>
      <c r="V35" s="773" t="s">
        <v>17</v>
      </c>
      <c r="W35" s="774">
        <f t="shared" si="12"/>
        <v>100</v>
      </c>
      <c r="X35" s="1814"/>
      <c r="Y35" s="3211"/>
      <c r="Z35" s="1815" t="str">
        <f t="shared" si="13"/>
        <v>宗地形状</v>
      </c>
      <c r="AA35" s="1812">
        <f t="shared" si="3"/>
        <v>1</v>
      </c>
      <c r="AB35" s="1812">
        <f t="shared" si="4"/>
        <v>1</v>
      </c>
      <c r="AC35" s="1812">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11"/>
      <c r="Q36" s="1811"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2"/>
      <c r="M37" s="1133"/>
      <c r="N37" s="1133"/>
      <c r="O37" s="1141"/>
      <c r="P37" s="3211" t="s">
        <v>2556</v>
      </c>
      <c r="Q37" s="1811" t="str">
        <f t="shared" si="14"/>
        <v>工程地质条件</v>
      </c>
      <c r="R37" s="773" t="s">
        <v>17</v>
      </c>
      <c r="S37" s="774">
        <f t="shared" si="10"/>
        <v>100</v>
      </c>
      <c r="T37" s="773" t="s">
        <v>17</v>
      </c>
      <c r="U37" s="774">
        <f t="shared" si="11"/>
        <v>100</v>
      </c>
      <c r="V37" s="773" t="s">
        <v>17</v>
      </c>
      <c r="W37" s="774">
        <f t="shared" si="12"/>
        <v>100</v>
      </c>
      <c r="X37" s="1814"/>
      <c r="Y37" s="3211" t="s">
        <v>2556</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1"/>
      <c r="Q38" s="1811">
        <f t="shared" si="14"/>
        <v>111</v>
      </c>
      <c r="R38" s="773" t="s">
        <v>17</v>
      </c>
      <c r="S38" s="774">
        <f t="shared" si="10"/>
        <v>100</v>
      </c>
      <c r="T38" s="773" t="s">
        <v>17</v>
      </c>
      <c r="U38" s="774">
        <f t="shared" si="11"/>
        <v>100</v>
      </c>
      <c r="V38" s="773" t="s">
        <v>17</v>
      </c>
      <c r="W38" s="774">
        <f t="shared" si="12"/>
        <v>100</v>
      </c>
      <c r="X38" s="1814"/>
      <c r="Y38" s="3211"/>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1"/>
      <c r="Q39" s="1811">
        <f t="shared" si="14"/>
        <v>111</v>
      </c>
      <c r="R39" s="773" t="s">
        <v>17</v>
      </c>
      <c r="S39" s="774">
        <f t="shared" si="10"/>
        <v>100</v>
      </c>
      <c r="T39" s="773" t="s">
        <v>17</v>
      </c>
      <c r="U39" s="774">
        <f t="shared" si="11"/>
        <v>100</v>
      </c>
      <c r="V39" s="773" t="s">
        <v>17</v>
      </c>
      <c r="W39" s="774">
        <f t="shared" si="12"/>
        <v>100</v>
      </c>
      <c r="X39" s="1814"/>
      <c r="Y39" s="3211"/>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1"/>
      <c r="Q40" s="1811">
        <f t="shared" si="14"/>
        <v>111</v>
      </c>
      <c r="R40" s="776" t="s">
        <v>17</v>
      </c>
      <c r="S40" s="777">
        <f t="shared" si="10"/>
        <v>100</v>
      </c>
      <c r="T40" s="776" t="s">
        <v>17</v>
      </c>
      <c r="U40" s="777">
        <f t="shared" si="11"/>
        <v>100</v>
      </c>
      <c r="V40" s="776" t="s">
        <v>17</v>
      </c>
      <c r="W40" s="777">
        <f t="shared" si="12"/>
        <v>100</v>
      </c>
      <c r="X40" s="778"/>
      <c r="Y40" s="3211"/>
      <c r="Z40" s="779">
        <f t="shared" si="13"/>
        <v>111</v>
      </c>
      <c r="AA40" s="1812">
        <f t="shared" si="3"/>
        <v>1</v>
      </c>
      <c r="AB40" s="1812">
        <f t="shared" si="4"/>
        <v>1</v>
      </c>
      <c r="AC40" s="1812">
        <f t="shared" si="5"/>
        <v>1</v>
      </c>
    </row>
    <row r="41" spans="1:29" ht="15">
      <c r="A41" s="479" t="s">
        <v>2711</v>
      </c>
      <c r="B41" s="2701" t="s">
        <v>2791</v>
      </c>
      <c r="C41" s="682" t="s">
        <v>1</v>
      </c>
      <c r="D41" s="481"/>
      <c r="E41" s="482"/>
      <c r="F41" s="483"/>
      <c r="G41" s="484"/>
      <c r="H41" s="485"/>
      <c r="I41" s="482"/>
      <c r="J41" s="485"/>
      <c r="K41" s="782"/>
      <c r="L41" s="1145"/>
      <c r="M41" s="1133"/>
      <c r="N41" s="1133"/>
      <c r="O41" s="1146"/>
      <c r="P41" s="3213" t="str">
        <f>A41</f>
        <v>成交单价</v>
      </c>
      <c r="Q41" s="3213"/>
      <c r="R41" s="3175">
        <f>E41</f>
        <v>0</v>
      </c>
      <c r="S41" s="3175"/>
      <c r="T41" s="3175">
        <f>G41</f>
        <v>0</v>
      </c>
      <c r="U41" s="3175"/>
      <c r="V41" s="3175">
        <f>I41</f>
        <v>0</v>
      </c>
      <c r="W41" s="3175"/>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213" t="str">
        <f>A42</f>
        <v>比较价值（元/平方米）</v>
      </c>
      <c r="Q42" s="3213"/>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215" t="str">
        <f>A43</f>
        <v>估价对象XX用房的比较价值（楼面单价，元/平方米）</v>
      </c>
      <c r="Q43" s="3216"/>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2" t="s">
        <v>2751</v>
      </c>
      <c r="D50" s="2703" t="s">
        <v>2752</v>
      </c>
      <c r="E50" s="686" t="s">
        <v>2753</v>
      </c>
      <c r="F50" s="687" t="s">
        <v>2754</v>
      </c>
      <c r="G50" s="3191" t="s">
        <v>2755</v>
      </c>
      <c r="H50" s="3276"/>
      <c r="I50" s="1815" t="s">
        <v>2792</v>
      </c>
      <c r="J50" s="1815">
        <f>项目基本情况!F35</f>
        <v>0</v>
      </c>
      <c r="K50" s="2705" t="s">
        <v>2757</v>
      </c>
      <c r="L50" s="1108"/>
      <c r="M50" s="1146"/>
      <c r="N50" s="1146"/>
      <c r="O50" s="1146"/>
    </row>
    <row r="51" spans="1:17" s="692" customFormat="1">
      <c r="A51" s="688" t="s">
        <v>2758</v>
      </c>
      <c r="B51" s="689" t="e">
        <f>C43</f>
        <v>#DIV/0!</v>
      </c>
      <c r="C51" s="690">
        <v>1</v>
      </c>
      <c r="D51" s="1165">
        <v>1</v>
      </c>
      <c r="E51" s="690">
        <f>'数据-汇总表'!E8+'数据-汇总表'!E9</f>
        <v>582.44000000000005</v>
      </c>
      <c r="F51" s="691" t="e">
        <f t="shared" ref="F51:F60" si="15">ROUND(B51*E51/10000,0)</f>
        <v>#DIV/0!</v>
      </c>
      <c r="G51" s="3190"/>
      <c r="H51" s="3213"/>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77"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6"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6"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07"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577.58000000000004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08"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3"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2"/>
      <c r="L1" s="2715" t="s">
        <v>2797</v>
      </c>
      <c r="M1" s="1082">
        <f>SUMPRODUCT((区片价!B5:B9=I2)*(区片价!C3:F3=E2)*(区片价!C5:F9))</f>
        <v>0</v>
      </c>
      <c r="N1" s="1085">
        <f>SUMPRODUCT((因素修正幅度!B5:B9=I2)*(因素修正幅度!C3:F3=E2)*(因素修正幅度!C5:F9))</f>
        <v>0</v>
      </c>
      <c r="O1" s="2716"/>
      <c r="P1" s="2716"/>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18" t="s">
        <v>2804</v>
      </c>
      <c r="D2" s="2719" t="s">
        <v>2805</v>
      </c>
      <c r="E2" s="2720"/>
      <c r="F2" s="2719" t="s">
        <v>2806</v>
      </c>
      <c r="G2" s="2721">
        <f>IF(E2="商业",项目基本情况!B37,IF(E2="办公",项目基本情况!C37,IF(E2="住宅",项目基本情况!D37,项目基本情况!E37)))</f>
        <v>0</v>
      </c>
      <c r="H2" s="2719" t="s">
        <v>2807</v>
      </c>
      <c r="I2" s="2721">
        <f>IF(E2="商业",项目基本情况!B38,IF(E2="办公",项目基本情况!C38,IF(E2="住宅",项目基本情况!D38,项目基本情况!E38)))</f>
        <v>0</v>
      </c>
      <c r="J2" s="2722"/>
      <c r="K2" s="1372"/>
      <c r="L2" s="2723"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18" t="s">
        <v>2810</v>
      </c>
      <c r="D3" s="2719" t="s">
        <v>2811</v>
      </c>
      <c r="E3" s="2724"/>
      <c r="F3" s="2725" t="s">
        <v>2812</v>
      </c>
      <c r="G3" s="915">
        <f>IF(F3="宗地容积率",'数据-汇总表'!I4,IF(F3="估价对象容积率",'数据-汇总表'!I6,'数据-汇总表'!I7))</f>
        <v>1.01</v>
      </c>
      <c r="H3" s="198" t="s">
        <v>2813</v>
      </c>
      <c r="I3" s="946"/>
      <c r="J3" s="2722" t="s">
        <v>2814</v>
      </c>
      <c r="K3" s="1372"/>
      <c r="L3" s="2723"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2"/>
      <c r="L4" s="2723"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2817</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2819</v>
      </c>
      <c r="B6" s="2737" t="s">
        <v>2820</v>
      </c>
      <c r="C6" s="917">
        <f>SUMIF(L1:L12,G2,M1:M12)</f>
        <v>0</v>
      </c>
      <c r="D6" s="2738" t="s">
        <v>2821</v>
      </c>
      <c r="E6" s="2739"/>
      <c r="F6" s="2739"/>
      <c r="G6" s="2740"/>
      <c r="H6" s="2740"/>
      <c r="I6" s="2740"/>
      <c r="J6" s="2741"/>
      <c r="K6" s="1843"/>
      <c r="L6" s="2723"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78" t="str">
        <f>IF(E2="商业",IF(C8="不临58条商业街","",2),"")</f>
        <v/>
      </c>
      <c r="B7" s="2742" t="s">
        <v>2823</v>
      </c>
      <c r="C7" s="918" t="e">
        <f>IF(C8="不临58条商业街",1,ROUND(1+(1.6*E8+1.2*E9+0.8*E10+0.4*E11)*C9,4))</f>
        <v>#DIV/0!</v>
      </c>
      <c r="D7" s="2743" t="s">
        <v>2824</v>
      </c>
      <c r="E7" s="947"/>
      <c r="F7" s="2744"/>
      <c r="G7" s="2745"/>
      <c r="H7" s="2745"/>
      <c r="I7" s="2745"/>
      <c r="J7" s="2746"/>
      <c r="K7" s="1843"/>
      <c r="L7" s="2723"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7" t="s">
        <v>2826</v>
      </c>
      <c r="X7" s="1606">
        <f>G2</f>
        <v>0</v>
      </c>
      <c r="Y7" s="1606" t="s">
        <v>2827</v>
      </c>
      <c r="Z7" s="1607">
        <f>G3</f>
        <v>1.01</v>
      </c>
      <c r="AA7" s="1608"/>
      <c r="AB7" s="1608"/>
      <c r="AC7" s="1609"/>
      <c r="AD7" s="1610"/>
      <c r="AE7" s="1610"/>
      <c r="AF7" s="1610"/>
      <c r="AG7" s="1610"/>
      <c r="AH7" s="1610"/>
      <c r="AI7" s="1610"/>
      <c r="AJ7" s="1611"/>
    </row>
    <row r="8" spans="1:36" ht="15">
      <c r="A8" s="3279"/>
      <c r="B8" s="198" t="s">
        <v>2828</v>
      </c>
      <c r="C8" s="2747"/>
      <c r="D8" s="919" t="s">
        <v>139</v>
      </c>
      <c r="E8" s="920" t="e">
        <f>ROUND(C11/E7,4)</f>
        <v>#DIV/0!</v>
      </c>
      <c r="F8" s="2748" t="s">
        <v>2829</v>
      </c>
      <c r="G8" s="2749"/>
      <c r="H8" s="2749"/>
      <c r="I8" s="2749"/>
      <c r="J8" s="2750"/>
      <c r="K8" s="1372"/>
      <c r="L8" s="2723"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9" t="s">
        <v>2831</v>
      </c>
      <c r="X8" s="3290"/>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79"/>
      <c r="B9" s="198" t="s">
        <v>2844</v>
      </c>
      <c r="C9" s="921">
        <f>SUMIF(修正!C59:C119,C8,修正!E59:E119)</f>
        <v>0</v>
      </c>
      <c r="D9" s="200" t="s">
        <v>140</v>
      </c>
      <c r="E9" s="200" t="e">
        <f>ROUND(C11/E7,4)</f>
        <v>#DIV/0!</v>
      </c>
      <c r="F9" s="2748" t="s">
        <v>2845</v>
      </c>
      <c r="G9" s="2749"/>
      <c r="H9" s="2749"/>
      <c r="I9" s="2749"/>
      <c r="J9" s="2750"/>
      <c r="K9" s="1372"/>
      <c r="L9" s="2723"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1" t="s">
        <v>2847</v>
      </c>
      <c r="X9" s="1613" t="s">
        <v>2848</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2849</v>
      </c>
      <c r="C10" s="200">
        <f>SUMIF(修正!C59:C119,C8,修正!F59:F119)</f>
        <v>0</v>
      </c>
      <c r="D10" s="200" t="s">
        <v>141</v>
      </c>
      <c r="E10" s="200" t="e">
        <f>ROUND(C11/E7,4)</f>
        <v>#DIV/0!</v>
      </c>
      <c r="F10" s="2748" t="s">
        <v>2850</v>
      </c>
      <c r="G10" s="2749"/>
      <c r="H10" s="2749"/>
      <c r="I10" s="2749"/>
      <c r="J10" s="2750"/>
      <c r="K10" s="1372"/>
      <c r="L10" s="2723"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1" t="s">
        <v>2852</v>
      </c>
      <c r="C11" s="922">
        <f>C10/4</f>
        <v>0</v>
      </c>
      <c r="D11" s="922" t="s">
        <v>142</v>
      </c>
      <c r="E11" s="922" t="e">
        <f>ROUND(C11/E7,4)</f>
        <v>#DIV/0!</v>
      </c>
      <c r="F11" s="2752" t="s">
        <v>2853</v>
      </c>
      <c r="G11" s="2753"/>
      <c r="H11" s="2753"/>
      <c r="I11" s="2753"/>
      <c r="J11" s="2754"/>
      <c r="K11" s="1372"/>
      <c r="L11" s="2723"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1" t="s">
        <v>2855</v>
      </c>
      <c r="X11" s="1616" t="s">
        <v>2856</v>
      </c>
      <c r="Y11" s="1617">
        <f>$G$3</f>
        <v>1.01</v>
      </c>
      <c r="Z11" s="1617">
        <f t="shared" ref="Z11:AJ11" si="3">$G$3</f>
        <v>1.01</v>
      </c>
      <c r="AA11" s="1617">
        <f t="shared" si="3"/>
        <v>1.01</v>
      </c>
      <c r="AB11" s="1617">
        <f t="shared" si="3"/>
        <v>1.01</v>
      </c>
      <c r="AC11" s="1617">
        <f t="shared" si="3"/>
        <v>1.01</v>
      </c>
      <c r="AD11" s="1617">
        <f t="shared" si="3"/>
        <v>1.01</v>
      </c>
      <c r="AE11" s="1617">
        <f t="shared" si="3"/>
        <v>1.01</v>
      </c>
      <c r="AF11" s="1617">
        <f t="shared" si="3"/>
        <v>1.01</v>
      </c>
      <c r="AG11" s="1617">
        <f t="shared" si="3"/>
        <v>1.01</v>
      </c>
      <c r="AH11" s="1617">
        <f t="shared" si="3"/>
        <v>1.01</v>
      </c>
      <c r="AI11" s="1617">
        <f t="shared" si="3"/>
        <v>1.01</v>
      </c>
      <c r="AJ11" s="1617">
        <f t="shared" si="3"/>
        <v>1.01</v>
      </c>
    </row>
    <row r="12" spans="1:36" ht="25.5" thickBot="1">
      <c r="A12" s="3278" t="s">
        <v>2857</v>
      </c>
      <c r="B12" s="2755" t="s">
        <v>2858</v>
      </c>
      <c r="C12" s="918">
        <f>ROUND(C15*D15*E15*F15*G15*H15*I15*J15,4)</f>
        <v>1</v>
      </c>
      <c r="D12" s="2756" t="s">
        <v>2859</v>
      </c>
      <c r="E12" s="2757"/>
      <c r="F12" s="2757"/>
      <c r="G12" s="2758"/>
      <c r="H12" s="2758"/>
      <c r="I12" s="2758"/>
      <c r="J12" s="2759"/>
      <c r="K12" s="1372"/>
      <c r="L12" s="2760"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1"/>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1" t="s">
        <v>2862</v>
      </c>
      <c r="C13" s="2762" t="s">
        <v>2863</v>
      </c>
      <c r="D13" s="1809" t="s">
        <v>2864</v>
      </c>
      <c r="E13" s="1809" t="s">
        <v>2865</v>
      </c>
      <c r="F13" s="30" t="s">
        <v>2866</v>
      </c>
      <c r="G13" s="2763" t="s">
        <v>2867</v>
      </c>
      <c r="H13" s="2763" t="s">
        <v>2867</v>
      </c>
      <c r="I13" s="2763" t="s">
        <v>2867</v>
      </c>
      <c r="J13" s="2764" t="s">
        <v>2867</v>
      </c>
      <c r="K13" s="1372"/>
      <c r="L13" s="1372"/>
      <c r="M13" s="1372"/>
      <c r="N13" s="1372"/>
      <c r="O13" s="1372"/>
      <c r="P13" s="1372"/>
      <c r="Q13" s="1372"/>
      <c r="R13" s="1604">
        <v>12</v>
      </c>
      <c r="S13" s="1605"/>
      <c r="T13" s="1604" t="e">
        <f t="shared" si="0"/>
        <v>#DIV/0!</v>
      </c>
      <c r="U13" s="1605"/>
      <c r="V13" s="1604" t="e">
        <f t="shared" si="1"/>
        <v>#DIV/0!</v>
      </c>
      <c r="W13" s="3291"/>
      <c r="X13" s="1618"/>
      <c r="Y13" s="1615">
        <f>(-0.163*(Y12^2)-0.59*Y12+7617)*(10^(-4))/Y11</f>
        <v>0.75415841584158416</v>
      </c>
      <c r="Z13" s="1615">
        <f t="shared" ref="Z13:AJ13" si="5">(-0.163*(Z12^2)-0.59*Z12+7617)*(10^(-4))/Z11</f>
        <v>0.75415841584158416</v>
      </c>
      <c r="AA13" s="1615">
        <f t="shared" si="5"/>
        <v>0.75415841584158416</v>
      </c>
      <c r="AB13" s="1615">
        <f t="shared" si="5"/>
        <v>0.75415841584158416</v>
      </c>
      <c r="AC13" s="1615">
        <f t="shared" si="5"/>
        <v>0.75415841584158416</v>
      </c>
      <c r="AD13" s="1615">
        <f t="shared" si="5"/>
        <v>0.75415841584158416</v>
      </c>
      <c r="AE13" s="1615">
        <f t="shared" si="5"/>
        <v>0.75415841584158416</v>
      </c>
      <c r="AF13" s="1615">
        <f t="shared" si="5"/>
        <v>0.75415841584158416</v>
      </c>
      <c r="AG13" s="1615">
        <f t="shared" si="5"/>
        <v>0.75415841584158416</v>
      </c>
      <c r="AH13" s="1615">
        <f t="shared" si="5"/>
        <v>0.75415841584158416</v>
      </c>
      <c r="AI13" s="1615">
        <f t="shared" si="5"/>
        <v>0.75415841584158416</v>
      </c>
      <c r="AJ13" s="1615">
        <f t="shared" si="5"/>
        <v>0.75415841584158416</v>
      </c>
    </row>
    <row r="14" spans="1:36" ht="15">
      <c r="A14" s="3296"/>
      <c r="B14" s="2765"/>
      <c r="C14" s="2766"/>
      <c r="D14" s="2767"/>
      <c r="E14" s="2767"/>
      <c r="F14" s="2768"/>
      <c r="G14" s="2769" t="s">
        <v>2868</v>
      </c>
      <c r="H14" s="2770"/>
      <c r="I14" s="2771"/>
      <c r="J14" s="2772"/>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73" t="s">
        <v>2869</v>
      </c>
      <c r="C15" s="229">
        <f>IF(C14="有",1.1,1)</f>
        <v>1</v>
      </c>
      <c r="D15" s="229">
        <f>IF(D14="有",1.1,1)</f>
        <v>1</v>
      </c>
      <c r="E15" s="229">
        <f>IF(E14="有",1.1,1)</f>
        <v>1</v>
      </c>
      <c r="F15" s="229">
        <f>IF(F14="500米范围内",1.2,IF(F14="500-1000米",1.1,1))</f>
        <v>1</v>
      </c>
      <c r="G15" s="948">
        <v>1</v>
      </c>
      <c r="H15" s="948">
        <v>1</v>
      </c>
      <c r="I15" s="948">
        <v>1</v>
      </c>
      <c r="J15" s="949">
        <v>1</v>
      </c>
      <c r="K15" s="1372"/>
      <c r="L15" s="2774" t="s">
        <v>2805</v>
      </c>
      <c r="M15" s="919" t="s">
        <v>2870</v>
      </c>
      <c r="N15" s="919" t="s">
        <v>2871</v>
      </c>
      <c r="O15" s="919" t="s">
        <v>2872</v>
      </c>
      <c r="P15" s="2775"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2874</v>
      </c>
      <c r="B16" s="2742" t="s">
        <v>2875</v>
      </c>
      <c r="C16" s="1802" t="e">
        <f>ROUND(SUM(G17:J17)/C17,0)</f>
        <v>#DIV/0!</v>
      </c>
      <c r="D16" s="2776" t="s">
        <v>2876</v>
      </c>
      <c r="E16" s="2777"/>
      <c r="F16" s="2778"/>
      <c r="G16" s="2779"/>
      <c r="H16" s="2779"/>
      <c r="I16" s="2779"/>
      <c r="J16" s="2780"/>
      <c r="K16" s="1372"/>
      <c r="L16" s="2781"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82" t="s">
        <v>2878</v>
      </c>
      <c r="C17" s="923">
        <f>SUMPRODUCT((修正!A2:A5=E2)*(修正!B1:M1=G2)*(修正!B2:M5))</f>
        <v>0</v>
      </c>
      <c r="D17" s="2783"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2882</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2883</v>
      </c>
      <c r="C19" s="926" t="e">
        <f>ROUND(IF(H19="按公示增长率计算",SUMPRODUCT((地价!A3:A23=YEAR(G19)&amp;"-"&amp;ROUNDUP(MONTH(G19)/3,0))*(地价!X2:AB2=E2)*(地价!X3:AB23)),IF(H19="地价指数",M20/M19,(1+I19)^O19)),4)</f>
        <v>#DIV/0!</v>
      </c>
      <c r="D19" s="2794" t="s">
        <v>2884</v>
      </c>
      <c r="E19" s="927">
        <v>41640</v>
      </c>
      <c r="F19" s="2794" t="s">
        <v>2885</v>
      </c>
      <c r="G19" s="928">
        <f>'数据-取费表'!B2</f>
        <v>43316</v>
      </c>
      <c r="H19" s="2795" t="s">
        <v>2886</v>
      </c>
      <c r="I19" s="929" t="str">
        <f>IF(H19="季度增幅（自定义）",SUMIF(N21:N24,E2,O21:O24),"")</f>
        <v/>
      </c>
      <c r="J19" s="2792"/>
      <c r="K19" s="1379"/>
      <c r="L19" s="2796" t="s">
        <v>2887</v>
      </c>
      <c r="M19" s="1736">
        <f>ROUND(SUMIF(地价!B2:F2,E2,地价!B23:F23),0)</f>
        <v>0</v>
      </c>
      <c r="N19" s="2797"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2889</v>
      </c>
      <c r="C20" s="931" t="e">
        <f>ROUND(POWER(1+G20,J20-I20)*(POWER(1+G20,I20)-1)/(POWER(1+G20,J20)-1),4)</f>
        <v>#DIV/0!</v>
      </c>
      <c r="D20" s="2803" t="s">
        <v>2890</v>
      </c>
      <c r="E20" s="1770">
        <f ca="1">存贷款利率!D4/100</f>
        <v>4.3499999999999997E-2</v>
      </c>
      <c r="F20" s="2803" t="s">
        <v>2881</v>
      </c>
      <c r="G20" s="936">
        <f>SUMIF(M15:P15,E2,M17:P17)</f>
        <v>0</v>
      </c>
      <c r="H20" s="2803" t="s">
        <v>2891</v>
      </c>
      <c r="I20" s="937" t="e">
        <f>SUMIF('数据-取费表'!C6:C15,E2,'数据-取费表'!F6:F15)/COUNTIF('数据-取费表'!C6:C15,E2)</f>
        <v>#DIV/0!</v>
      </c>
      <c r="J20" s="938">
        <f>IF(E2="住宅",70,IF(E2="商业",40,50))</f>
        <v>50</v>
      </c>
      <c r="K20" s="1379"/>
      <c r="L20" s="2804" t="s">
        <v>2892</v>
      </c>
      <c r="M20" s="1737">
        <f>ROUND(SUMPRODUCT((地价!A4:A23=YEAR(G19)&amp;"-"&amp;ROUNDUP(MONTH(G19)/3,0))*(地价!B2:F2=E2)*(地价!B4:F23)),0)</f>
        <v>0</v>
      </c>
      <c r="N20" s="2805" t="s">
        <v>2893</v>
      </c>
      <c r="O20" s="2806" t="s">
        <v>2894</v>
      </c>
      <c r="P20" s="2807" t="s">
        <v>2895</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2896</v>
      </c>
      <c r="C21" s="939">
        <f>IF(B21="容积率修正",IF(G3&lt;=10,D22,J22),C23)</f>
        <v>0</v>
      </c>
      <c r="D21" s="2810"/>
      <c r="E21" s="2810"/>
      <c r="F21" s="2810"/>
      <c r="G21" s="2810"/>
      <c r="H21" s="2810"/>
      <c r="I21" s="2810"/>
      <c r="J21" s="2811"/>
      <c r="K21" s="1379"/>
      <c r="N21" s="2812"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5" customFormat="1" ht="14.25">
      <c r="A22" s="2661" t="s">
        <v>2898</v>
      </c>
      <c r="B22" s="2813" t="s">
        <v>2899</v>
      </c>
      <c r="C22" s="1811" t="s">
        <v>2900</v>
      </c>
      <c r="D22" s="1811">
        <f>IF(E22=G22,F22,IF(G3&lt;=10,ROUND(F22+(H22-F22)*(G3-E22)/(G22-E22),4),"——"))</f>
        <v>0</v>
      </c>
      <c r="E22" s="915">
        <f>ROUNDDOWN(G3,1)</f>
        <v>1</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1" t="s">
        <v>2902</v>
      </c>
      <c r="B23" s="2814" t="s">
        <v>2903</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2905</v>
      </c>
      <c r="C24" s="926">
        <f>SUMIF(A45:A88,E2,B45:B88)</f>
        <v>0</v>
      </c>
      <c r="D24" s="2790"/>
      <c r="E24" s="2820"/>
      <c r="F24" s="2820"/>
      <c r="G24" s="2820"/>
      <c r="H24" s="2820"/>
      <c r="I24" s="2820"/>
      <c r="J24" s="2821"/>
      <c r="K24" s="1379"/>
      <c r="N24" s="2822"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2907</v>
      </c>
      <c r="C25" s="932"/>
      <c r="D25" s="2745"/>
      <c r="E25" s="2745"/>
      <c r="F25" s="2824"/>
      <c r="G25" s="2745"/>
      <c r="H25" s="2745"/>
      <c r="I25" s="2745"/>
      <c r="J25" s="2746"/>
      <c r="K25" s="1372"/>
      <c r="N25" s="2825"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6"/>
      <c r="B26" s="2813" t="s">
        <v>2909</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2910</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2911</v>
      </c>
      <c r="C28" s="2837" t="s">
        <v>2912</v>
      </c>
      <c r="D28" s="2837" t="s">
        <v>2913</v>
      </c>
      <c r="E28" s="2838" t="s">
        <v>2914</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2915</v>
      </c>
      <c r="C29" s="206" t="e">
        <f>ROUND(C5*C18*C19*C20*C21*C24,0)</f>
        <v>#DIV/0!</v>
      </c>
      <c r="D29" s="2842"/>
      <c r="E29" s="944" t="e">
        <f>ROUND(C29*D29/10000,0)</f>
        <v>#DIV/0!</v>
      </c>
      <c r="F29" s="2843" t="s">
        <v>2916</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2917</v>
      </c>
      <c r="C30" s="229" t="e">
        <f>ROUND(IF(E2="工业",C29*M39,C29*M38),0)</f>
        <v>#DIV/0!</v>
      </c>
      <c r="D30" s="2848"/>
      <c r="E30" s="944" t="e">
        <f>ROUND(C30*D30/10000,0)</f>
        <v>#DIV/0!</v>
      </c>
      <c r="F30" s="2849" t="s">
        <v>2918</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2919</v>
      </c>
      <c r="C31" s="2854" t="s">
        <v>2920</v>
      </c>
      <c r="D31" s="2758"/>
      <c r="E31" s="2854"/>
      <c r="F31" s="2854"/>
      <c r="G31" s="2756" t="s">
        <v>2921</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2912</v>
      </c>
      <c r="D32" s="498" t="s">
        <v>2913</v>
      </c>
      <c r="E32" s="498" t="s">
        <v>2914</v>
      </c>
      <c r="F32" s="388" t="s">
        <v>2922</v>
      </c>
      <c r="G32" s="2857" t="s">
        <v>2912</v>
      </c>
      <c r="H32" s="2857" t="s">
        <v>2913</v>
      </c>
      <c r="I32" s="2857"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286" t="s">
        <v>2923</v>
      </c>
      <c r="B33" s="2858" t="s">
        <v>2924</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7"/>
      <c r="B34" s="2762" t="s">
        <v>2925</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7"/>
      <c r="B35" s="2762" t="s">
        <v>2926</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288"/>
      <c r="B36" s="2762" t="s">
        <v>2927</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2928</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2929</v>
      </c>
      <c r="M37" s="2862"/>
      <c r="N37" s="1372"/>
      <c r="O37" s="1372"/>
      <c r="P37" s="1372"/>
      <c r="Q37" s="1372"/>
      <c r="R37" s="1372"/>
      <c r="S37" s="1372"/>
      <c r="T37" s="1372"/>
      <c r="U37" s="1372"/>
      <c r="V37" s="1372"/>
      <c r="W37" s="1372"/>
      <c r="X37" s="1372"/>
      <c r="Y37" s="1372"/>
      <c r="Z37" s="1373"/>
    </row>
    <row r="38" spans="1:37">
      <c r="A38" s="2860"/>
      <c r="B38" s="2762" t="s">
        <v>2930</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2931</v>
      </c>
      <c r="M38" s="2863">
        <v>0.25</v>
      </c>
      <c r="N38" s="1372"/>
      <c r="O38" s="1372"/>
      <c r="P38" s="1372"/>
      <c r="Q38" s="1372"/>
      <c r="R38" s="1372"/>
      <c r="S38" s="1372"/>
      <c r="T38" s="1372"/>
      <c r="U38" s="1372"/>
      <c r="V38" s="1372"/>
      <c r="W38" s="1372"/>
      <c r="X38" s="1372"/>
      <c r="Y38" s="1372"/>
      <c r="Z38" s="1373"/>
    </row>
    <row r="39" spans="1:37" ht="13.5" thickBot="1">
      <c r="A39" s="2846"/>
      <c r="B39" s="2864" t="s">
        <v>2932</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2873</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2933</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2934</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2935</v>
      </c>
      <c r="B47" s="1810" t="s">
        <v>2936</v>
      </c>
      <c r="C47" s="1810" t="s">
        <v>2937</v>
      </c>
      <c r="D47" s="1810" t="s">
        <v>2938</v>
      </c>
      <c r="E47" s="818" t="s">
        <v>2939</v>
      </c>
      <c r="F47" s="2876" t="s">
        <v>2940</v>
      </c>
      <c r="G47" s="1810" t="s">
        <v>754</v>
      </c>
      <c r="H47" s="2877" t="s">
        <v>2941</v>
      </c>
      <c r="I47" s="1810"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5" t="s">
        <v>2943</v>
      </c>
      <c r="B48" s="2878" t="str">
        <f>估价对象房地状况!C4</f>
        <v>一般</v>
      </c>
      <c r="C48" s="2767"/>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5" t="s">
        <v>2944</v>
      </c>
      <c r="B49" s="2879" t="str">
        <f>估价对象房地状况!C18</f>
        <v>一般</v>
      </c>
      <c r="C49" s="2767"/>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5" t="s">
        <v>2945</v>
      </c>
      <c r="B50" s="2879">
        <f>估价对象房地状况!C19</f>
        <v>0</v>
      </c>
      <c r="C50" s="2767"/>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2946</v>
      </c>
      <c r="B51" s="2880" t="s">
        <v>2947</v>
      </c>
      <c r="C51" s="2767"/>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2948</v>
      </c>
      <c r="B52" s="2879">
        <f>估价对象房地状况!C24</f>
        <v>0</v>
      </c>
      <c r="C52" s="2767"/>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2949</v>
      </c>
      <c r="B53" s="2881" t="s">
        <v>2950</v>
      </c>
      <c r="C53" s="2767"/>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2" t="s">
        <v>2951</v>
      </c>
      <c r="B54" s="1727" t="str">
        <f>估价对象房地状况!C21</f>
        <v>一般</v>
      </c>
      <c r="C54" s="2767"/>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2" t="s">
        <v>2952</v>
      </c>
      <c r="B55" s="2879" t="str">
        <f>估价对象房地状况!C22</f>
        <v>六通</v>
      </c>
      <c r="C55" s="2767"/>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3" t="s">
        <v>2953</v>
      </c>
      <c r="B56" s="2884" t="str">
        <f>估价对象房地状况!C20</f>
        <v>一般</v>
      </c>
      <c r="C56" s="2767"/>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2954</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2935</v>
      </c>
      <c r="B58" s="1810"/>
      <c r="C58" s="1810" t="s">
        <v>2937</v>
      </c>
      <c r="D58" s="1810" t="s">
        <v>2938</v>
      </c>
      <c r="E58" s="818" t="s">
        <v>2939</v>
      </c>
      <c r="F58" s="2876" t="s">
        <v>2955</v>
      </c>
      <c r="G58" s="1810" t="s">
        <v>754</v>
      </c>
      <c r="H58" s="2877" t="s">
        <v>2941</v>
      </c>
      <c r="I58" s="1810"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5" t="s">
        <v>2956</v>
      </c>
      <c r="B59" s="2878">
        <f>估价对象房地状况!C17</f>
        <v>0</v>
      </c>
      <c r="C59" s="2767"/>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5" t="s">
        <v>2944</v>
      </c>
      <c r="B60" s="2879" t="str">
        <f>估价对象房地状况!C18</f>
        <v>一般</v>
      </c>
      <c r="C60" s="2767"/>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5" t="s">
        <v>2945</v>
      </c>
      <c r="B61" s="2879">
        <f>估价对象房地状况!C19</f>
        <v>0</v>
      </c>
      <c r="C61" s="2767"/>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2946</v>
      </c>
      <c r="B62" s="2880" t="s">
        <v>2947</v>
      </c>
      <c r="C62" s="2767"/>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2948</v>
      </c>
      <c r="B63" s="2879">
        <f>估价对象房地状况!C24</f>
        <v>0</v>
      </c>
      <c r="C63" s="2767"/>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2949</v>
      </c>
      <c r="B64" s="2881" t="s">
        <v>2950</v>
      </c>
      <c r="C64" s="2767"/>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5" t="s">
        <v>2951</v>
      </c>
      <c r="B65" s="1727" t="str">
        <f>估价对象房地状况!C21</f>
        <v>一般</v>
      </c>
      <c r="C65" s="2767"/>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5" t="s">
        <v>2952</v>
      </c>
      <c r="B66" s="1727" t="str">
        <f>估价对象房地状况!C22</f>
        <v>六通</v>
      </c>
      <c r="C66" s="2767"/>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3" t="s">
        <v>2953</v>
      </c>
      <c r="B67" s="2885" t="str">
        <f>估价对象房地状况!C20</f>
        <v>一般</v>
      </c>
      <c r="C67" s="2767"/>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2957</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2935</v>
      </c>
      <c r="B69" s="1810"/>
      <c r="C69" s="1810" t="s">
        <v>2937</v>
      </c>
      <c r="D69" s="1810" t="s">
        <v>2938</v>
      </c>
      <c r="E69" s="818" t="s">
        <v>2939</v>
      </c>
      <c r="F69" s="2876" t="s">
        <v>2955</v>
      </c>
      <c r="G69" s="1810" t="s">
        <v>754</v>
      </c>
      <c r="H69" s="2877" t="s">
        <v>2941</v>
      </c>
      <c r="I69" s="1810"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5" t="s">
        <v>2958</v>
      </c>
      <c r="B70" s="2878" t="str">
        <f>估价对象房地状况!C15</f>
        <v>较好</v>
      </c>
      <c r="C70" s="2767"/>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5" t="s">
        <v>2944</v>
      </c>
      <c r="B71" s="2879" t="str">
        <f>估价对象房地状况!C18</f>
        <v>一般</v>
      </c>
      <c r="C71" s="2767"/>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5" t="s">
        <v>2945</v>
      </c>
      <c r="B72" s="2879">
        <f>估价对象房地状况!C19</f>
        <v>0</v>
      </c>
      <c r="C72" s="2767"/>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2959</v>
      </c>
      <c r="B73" s="2879">
        <f>估价对象房地状况!C24</f>
        <v>0</v>
      </c>
      <c r="C73" s="2767"/>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5" t="s">
        <v>2951</v>
      </c>
      <c r="B74" s="1727" t="str">
        <f>估价对象房地状况!C21</f>
        <v>一般</v>
      </c>
      <c r="C74" s="2767"/>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5" t="s">
        <v>2952</v>
      </c>
      <c r="B75" s="1727" t="str">
        <f>估价对象房地状况!C22</f>
        <v>六通</v>
      </c>
      <c r="C75" s="2767"/>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2949</v>
      </c>
      <c r="B76" s="2881" t="s">
        <v>2950</v>
      </c>
      <c r="C76" s="2767"/>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24">
      <c r="A77" s="2875" t="s">
        <v>2953</v>
      </c>
      <c r="B77" s="2878" t="str">
        <f>估价对象房地状况!C20</f>
        <v>一般</v>
      </c>
      <c r="C77" s="2767"/>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2960</v>
      </c>
      <c r="B78" s="2887"/>
      <c r="C78" s="2767"/>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2961</v>
      </c>
      <c r="B79" s="2872">
        <f>1+E81</f>
        <v>1</v>
      </c>
      <c r="C79" s="813"/>
      <c r="D79" s="813"/>
      <c r="E79" s="814"/>
      <c r="F79" s="2874"/>
      <c r="G79" s="6"/>
      <c r="H79" s="6"/>
      <c r="I79" s="6"/>
      <c r="J79" s="7"/>
      <c r="K79" s="7"/>
      <c r="L79" s="7"/>
      <c r="M79" s="7"/>
      <c r="N79" s="7"/>
      <c r="Z79" s="2717"/>
      <c r="AA79" s="2793"/>
      <c r="AG79" s="1374"/>
      <c r="AK79" s="2793"/>
    </row>
    <row r="80" spans="1:37" ht="24.75">
      <c r="A80" s="2875" t="s">
        <v>2935</v>
      </c>
      <c r="B80" s="1810"/>
      <c r="C80" s="1810" t="s">
        <v>2937</v>
      </c>
      <c r="D80" s="1810" t="s">
        <v>2938</v>
      </c>
      <c r="E80" s="818" t="s">
        <v>2939</v>
      </c>
      <c r="F80" s="2876" t="s">
        <v>2955</v>
      </c>
      <c r="G80" s="1810" t="s">
        <v>754</v>
      </c>
      <c r="H80" s="2877" t="s">
        <v>2941</v>
      </c>
      <c r="I80" s="1810" t="s">
        <v>2942</v>
      </c>
      <c r="J80" s="603" t="s">
        <v>2588</v>
      </c>
      <c r="K80" s="603" t="s">
        <v>2589</v>
      </c>
      <c r="L80" s="603" t="s">
        <v>2590</v>
      </c>
      <c r="M80" s="603" t="s">
        <v>2591</v>
      </c>
      <c r="N80" s="603" t="s">
        <v>2592</v>
      </c>
      <c r="Z80" s="2717"/>
      <c r="AA80" s="2793"/>
      <c r="AG80" s="1374"/>
      <c r="AK80" s="2793"/>
    </row>
    <row r="81" spans="1:37" ht="24">
      <c r="A81" s="2875" t="s">
        <v>2962</v>
      </c>
      <c r="B81" s="2879">
        <f>估价对象房地状况!G15</f>
        <v>0</v>
      </c>
      <c r="C81" s="2767"/>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14.25">
      <c r="A82" s="2875" t="s">
        <v>2944</v>
      </c>
      <c r="B82" s="2879">
        <f>估价对象房地状况!G16</f>
        <v>0</v>
      </c>
      <c r="C82" s="2767"/>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2945</v>
      </c>
      <c r="B83" s="2879">
        <f>估价对象房地状况!G17</f>
        <v>0</v>
      </c>
      <c r="C83" s="2767"/>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2959</v>
      </c>
      <c r="B84" s="2879">
        <f>估价对象房地状况!G22</f>
        <v>0</v>
      </c>
      <c r="C84" s="2767"/>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4">
      <c r="A85" s="2875" t="s">
        <v>2951</v>
      </c>
      <c r="B85" s="1727">
        <f>估价对象房地状况!G19</f>
        <v>0</v>
      </c>
      <c r="C85" s="2767"/>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4">
      <c r="A86" s="2875" t="s">
        <v>2952</v>
      </c>
      <c r="B86" s="1727">
        <f>估价对象房地状况!G20</f>
        <v>0</v>
      </c>
      <c r="C86" s="2767"/>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2949</v>
      </c>
      <c r="B87" s="2881" t="s">
        <v>2963</v>
      </c>
      <c r="C87" s="2767"/>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15" thickBot="1">
      <c r="A88" s="2883" t="s">
        <v>2964</v>
      </c>
      <c r="B88" s="2888">
        <f>估价对象房地状况!G18</f>
        <v>0</v>
      </c>
      <c r="C88" s="2767"/>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280" t="s">
        <v>2965</v>
      </c>
      <c r="B90" s="3280"/>
      <c r="C90" s="3280"/>
      <c r="D90" s="3280"/>
      <c r="E90" s="3280"/>
      <c r="F90" s="3280"/>
      <c r="G90" s="3280"/>
      <c r="H90" s="3280"/>
      <c r="I90" s="3280"/>
      <c r="J90" s="3280"/>
      <c r="K90" s="2889"/>
      <c r="L90" s="2889"/>
      <c r="M90" s="2889"/>
      <c r="N90" s="2889"/>
    </row>
    <row r="91" spans="1:37">
      <c r="A91" s="3282" t="s">
        <v>2966</v>
      </c>
      <c r="B91" s="3282" t="s">
        <v>2967</v>
      </c>
      <c r="C91" s="2843" t="s">
        <v>2968</v>
      </c>
      <c r="D91" s="2844"/>
      <c r="E91" s="2844"/>
      <c r="F91" s="2844"/>
      <c r="G91" s="2844"/>
      <c r="H91" s="2844"/>
      <c r="I91" s="2844"/>
      <c r="J91" s="2890"/>
      <c r="K91" s="2891"/>
      <c r="L91" s="2891"/>
      <c r="M91" s="2891"/>
      <c r="N91" s="2891"/>
    </row>
    <row r="92" spans="1:37">
      <c r="A92" s="3282"/>
      <c r="B92" s="3282"/>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83" t="s">
        <v>2969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4"/>
      <c r="B99" s="2892" t="s">
        <v>2848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3" t="s">
        <v>2970</v>
      </c>
      <c r="B101" s="2896" t="s">
        <v>2971</v>
      </c>
      <c r="C101" s="2897">
        <f>$G$3</f>
        <v>1.01</v>
      </c>
      <c r="D101" s="2897">
        <f t="shared" ref="D101:N101" si="31">$G$3</f>
        <v>1.01</v>
      </c>
      <c r="E101" s="2897">
        <f t="shared" si="31"/>
        <v>1.01</v>
      </c>
      <c r="F101" s="2897">
        <f t="shared" si="31"/>
        <v>1.01</v>
      </c>
      <c r="G101" s="2897">
        <f t="shared" si="31"/>
        <v>1.01</v>
      </c>
      <c r="H101" s="2897">
        <f t="shared" si="31"/>
        <v>1.01</v>
      </c>
      <c r="I101" s="2897">
        <f t="shared" si="31"/>
        <v>1.01</v>
      </c>
      <c r="J101" s="2897">
        <f t="shared" si="31"/>
        <v>1.01</v>
      </c>
      <c r="K101" s="2897">
        <f t="shared" si="31"/>
        <v>1.01</v>
      </c>
      <c r="L101" s="2897">
        <f t="shared" si="31"/>
        <v>1.01</v>
      </c>
      <c r="M101" s="2897">
        <f t="shared" si="31"/>
        <v>1.01</v>
      </c>
      <c r="N101" s="2897">
        <f t="shared" si="31"/>
        <v>1.01</v>
      </c>
    </row>
    <row r="102" spans="1:14">
      <c r="A102" s="3284"/>
      <c r="B102" s="2892">
        <v>1</v>
      </c>
      <c r="C102" s="2893">
        <f>1.9362/C101</f>
        <v>1.917029702970297</v>
      </c>
      <c r="D102" s="2893">
        <f>1.9362/D101</f>
        <v>1.917029702970297</v>
      </c>
      <c r="E102" s="2893">
        <f>1.8629/E101</f>
        <v>1.8444554455445545</v>
      </c>
      <c r="F102" s="2893">
        <f>1.8629/F101</f>
        <v>1.8444554455445545</v>
      </c>
      <c r="G102" s="2893">
        <f>1.8629/G101</f>
        <v>1.8444554455445545</v>
      </c>
      <c r="H102" s="2893">
        <f>1.8629/H101</f>
        <v>1.8444554455445545</v>
      </c>
      <c r="I102" s="2893">
        <f>1.8629/I101</f>
        <v>1.8444554455445545</v>
      </c>
      <c r="J102" s="2893">
        <f>1.942/J101</f>
        <v>1.9227722772277227</v>
      </c>
      <c r="K102" s="2893">
        <f>1.942/K101</f>
        <v>1.9227722772277227</v>
      </c>
      <c r="L102" s="2893">
        <f>1.942/L101</f>
        <v>1.9227722772277227</v>
      </c>
      <c r="M102" s="2893">
        <f>1.942/M101</f>
        <v>1.9227722772277227</v>
      </c>
      <c r="N102" s="2893">
        <f>1.942/N101</f>
        <v>1.9227722772277227</v>
      </c>
    </row>
    <row r="103" spans="1:14">
      <c r="A103" s="3284"/>
      <c r="B103" s="2892">
        <v>2</v>
      </c>
      <c r="C103" s="2893">
        <f>1.4198/C101</f>
        <v>1.4057425742574257</v>
      </c>
      <c r="D103" s="2893">
        <f>1.4198/D101</f>
        <v>1.4057425742574257</v>
      </c>
      <c r="E103" s="2893">
        <f>1.3372/E101</f>
        <v>1.3239603960396038</v>
      </c>
      <c r="F103" s="2893">
        <f>1.3372/F101</f>
        <v>1.3239603960396038</v>
      </c>
      <c r="G103" s="2893">
        <f>1.3372/G101</f>
        <v>1.3239603960396038</v>
      </c>
      <c r="H103" s="2893">
        <f>1.3372/H101</f>
        <v>1.3239603960396038</v>
      </c>
      <c r="I103" s="2893">
        <f>1.3372/I101</f>
        <v>1.3239603960396038</v>
      </c>
      <c r="J103" s="2893">
        <f>1.2799/J101</f>
        <v>1.2672277227722772</v>
      </c>
      <c r="K103" s="2893">
        <f>1.2799/K101</f>
        <v>1.2672277227722772</v>
      </c>
      <c r="L103" s="2893">
        <f>1.2799/L101</f>
        <v>1.2672277227722772</v>
      </c>
      <c r="M103" s="2893">
        <f>1.2799/M101</f>
        <v>1.2672277227722772</v>
      </c>
      <c r="N103" s="2893">
        <f>1.2799/N101</f>
        <v>1.2672277227722772</v>
      </c>
    </row>
    <row r="104" spans="1:14">
      <c r="A104" s="3284"/>
      <c r="B104" s="2892">
        <v>3</v>
      </c>
      <c r="C104" s="2893">
        <f>1.1594/C101</f>
        <v>1.1479207920792078</v>
      </c>
      <c r="D104" s="2893">
        <f>1.1594/D101</f>
        <v>1.1479207920792078</v>
      </c>
      <c r="E104" s="2893">
        <f>1.0788/E101</f>
        <v>1.0681188118811882</v>
      </c>
      <c r="F104" s="2893">
        <f>1.0788/F101</f>
        <v>1.0681188118811882</v>
      </c>
      <c r="G104" s="2893">
        <f>1.0788/G101</f>
        <v>1.0681188118811882</v>
      </c>
      <c r="H104" s="2893">
        <f>1.0788/H101</f>
        <v>1.0681188118811882</v>
      </c>
      <c r="I104" s="2893">
        <f>1.0788/I101</f>
        <v>1.0681188118811882</v>
      </c>
      <c r="J104" s="2893">
        <f>1.0072/J101</f>
        <v>0.99722772277227734</v>
      </c>
      <c r="K104" s="2893">
        <f>1.0072/K101</f>
        <v>0.99722772277227734</v>
      </c>
      <c r="L104" s="2893">
        <f>1.0072/L101</f>
        <v>0.99722772277227734</v>
      </c>
      <c r="M104" s="2893">
        <f>1.0072/M101</f>
        <v>0.99722772277227734</v>
      </c>
      <c r="N104" s="2893">
        <f>1.0072/N101</f>
        <v>0.99722772277227734</v>
      </c>
    </row>
    <row r="105" spans="1:14">
      <c r="A105" s="3284"/>
      <c r="B105" s="2892">
        <v>4</v>
      </c>
      <c r="C105" s="2893">
        <f>0.9622/C101</f>
        <v>0.95267326732673274</v>
      </c>
      <c r="D105" s="2893">
        <f>0.9622/D101</f>
        <v>0.95267326732673274</v>
      </c>
      <c r="E105" s="2893">
        <f>0.8656/E101</f>
        <v>0.85702970297029701</v>
      </c>
      <c r="F105" s="2893">
        <f>0.8656/F101</f>
        <v>0.85702970297029701</v>
      </c>
      <c r="G105" s="2893">
        <f>0.8656/G101</f>
        <v>0.85702970297029701</v>
      </c>
      <c r="H105" s="2893">
        <f>0.8656/H101</f>
        <v>0.85702970297029701</v>
      </c>
      <c r="I105" s="2893">
        <f>0.8656/I101</f>
        <v>0.85702970297029701</v>
      </c>
      <c r="J105" s="2893">
        <f>0.7525/J101</f>
        <v>0.74504950495049505</v>
      </c>
      <c r="K105" s="2893">
        <f>0.7525/K101</f>
        <v>0.74504950495049505</v>
      </c>
      <c r="L105" s="2893">
        <f>0.7525/L101</f>
        <v>0.74504950495049505</v>
      </c>
      <c r="M105" s="2893">
        <f>0.7525/M101</f>
        <v>0.74504950495049505</v>
      </c>
      <c r="N105" s="2893">
        <f>0.7525/N101</f>
        <v>0.74504950495049505</v>
      </c>
    </row>
    <row r="106" spans="1:14">
      <c r="A106" s="3284"/>
      <c r="B106" s="2892">
        <v>5</v>
      </c>
      <c r="C106" s="2893">
        <f>0.8417/C101</f>
        <v>0.83336633663366333</v>
      </c>
      <c r="D106" s="2893">
        <f>0.8417/D101</f>
        <v>0.83336633663366333</v>
      </c>
      <c r="E106" s="2893">
        <f>0.7371/E101</f>
        <v>0.72980198019801978</v>
      </c>
      <c r="F106" s="2893">
        <f>0.7371/F101</f>
        <v>0.72980198019801978</v>
      </c>
      <c r="G106" s="2893">
        <f>0.7371/G101</f>
        <v>0.72980198019801978</v>
      </c>
      <c r="H106" s="2893">
        <f>0.7371/H101</f>
        <v>0.72980198019801978</v>
      </c>
      <c r="I106" s="2893">
        <f>0.7371/I101</f>
        <v>0.72980198019801978</v>
      </c>
      <c r="J106" s="2893">
        <f>0.5659/J101</f>
        <v>0.56029702970297024</v>
      </c>
      <c r="K106" s="2893">
        <f>0.5659/K101</f>
        <v>0.56029702970297024</v>
      </c>
      <c r="L106" s="2893">
        <f>0.5659/L101</f>
        <v>0.56029702970297024</v>
      </c>
      <c r="M106" s="2893">
        <f>0.5659/M101</f>
        <v>0.56029702970297024</v>
      </c>
      <c r="N106" s="2893">
        <f>0.5659/N101</f>
        <v>0.56029702970297024</v>
      </c>
    </row>
    <row r="107" spans="1:14">
      <c r="A107" s="3284"/>
      <c r="B107" s="2892">
        <v>6</v>
      </c>
      <c r="C107" s="2893">
        <f>0.7608/C101</f>
        <v>0.75326732673267327</v>
      </c>
      <c r="D107" s="2893">
        <f>0.7608/D101</f>
        <v>0.75326732673267327</v>
      </c>
      <c r="E107" s="2893">
        <f>0.6482/E101</f>
        <v>0.6417821782178218</v>
      </c>
      <c r="F107" s="2893">
        <f>0.6482/F101</f>
        <v>0.6417821782178218</v>
      </c>
      <c r="G107" s="2893">
        <f>0.6482/G101</f>
        <v>0.6417821782178218</v>
      </c>
      <c r="H107" s="2893">
        <f>0.6482/H101</f>
        <v>0.6417821782178218</v>
      </c>
      <c r="I107" s="2893">
        <f>0.6482/I101</f>
        <v>0.6417821782178218</v>
      </c>
      <c r="J107" s="2893">
        <f>0.4525/J101</f>
        <v>0.44801980198019803</v>
      </c>
      <c r="K107" s="2893">
        <f>0.4525/K101</f>
        <v>0.44801980198019803</v>
      </c>
      <c r="L107" s="2893">
        <f>0.4525/L101</f>
        <v>0.44801980198019803</v>
      </c>
      <c r="M107" s="2893">
        <f>0.4525/M101</f>
        <v>0.44801980198019803</v>
      </c>
      <c r="N107" s="2893">
        <f>0.4525/N101</f>
        <v>0.44801980198019803</v>
      </c>
    </row>
    <row r="108" spans="1:14">
      <c r="A108" s="3284"/>
      <c r="B108" s="3103" t="s">
        <v>2972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5"/>
      <c r="B109" s="3104"/>
      <c r="C109" s="2895">
        <f>(-0.163*(C108^2)-0.59*C108+7617)*(10^(-4))/C101</f>
        <v>0.75415841584158416</v>
      </c>
      <c r="D109" s="2895">
        <f>(-0.163*(D108^2)-0.59*D108+7617)*(10^(-4))/D101</f>
        <v>0.75415841584158416</v>
      </c>
      <c r="E109" s="2895">
        <f>(-0.161*(E108^2)-7.509*E108+6533)*(10^(-4))/E101</f>
        <v>0.64683168316831685</v>
      </c>
      <c r="F109" s="2895">
        <f>(-0.161*(F108^2)-7.509*F108+6533)*(10^(-4))/F101</f>
        <v>0.64683168316831685</v>
      </c>
      <c r="G109" s="2895">
        <f>(-0.161*(G108^2)-7.509*G108+6533)*(10^(-4))/G101</f>
        <v>0.64683168316831685</v>
      </c>
      <c r="H109" s="2895">
        <f>(-0.161*(H108^2)-7.509*H108+6533)*(10^(-4))/H101</f>
        <v>0.64683168316831685</v>
      </c>
      <c r="I109" s="2895">
        <f>(-0.161*(I108^2)-7.509*I108+6533)*(10^(-4))/I101</f>
        <v>0.64683168316831685</v>
      </c>
      <c r="J109" s="2895">
        <f>(-0.214*(J108^2)-21.991*J108+4665)*(10^(-4))/J101</f>
        <v>0.4618811881188119</v>
      </c>
      <c r="K109" s="2895">
        <f>(-0.214*(K108^2)-21.991*K108+4665)*(10^(-4))/K101</f>
        <v>0.4618811881188119</v>
      </c>
      <c r="L109" s="2895">
        <f>(-0.214*(L108^2)-21.991*L108+4665)*(10^(-4))/L101</f>
        <v>0.4618811881188119</v>
      </c>
      <c r="M109" s="2895">
        <f>(-0.214*(M108^2)-21.991*M108+4665)*(10^(-4))/M101</f>
        <v>0.4618811881188119</v>
      </c>
      <c r="N109" s="2895">
        <f>(-0.214*(N108^2)-21.991*N108+4665)*(10^(-4))/N101</f>
        <v>0.4618811881188119</v>
      </c>
    </row>
    <row r="110" spans="1:14">
      <c r="A110" s="3281" t="s">
        <v>2973</v>
      </c>
      <c r="B110" s="3281"/>
      <c r="C110" s="3281"/>
      <c r="D110" s="3281"/>
      <c r="E110" s="3281"/>
      <c r="F110" s="3281"/>
      <c r="G110" s="3281"/>
      <c r="H110" s="3281"/>
      <c r="I110" s="3281"/>
      <c r="J110" s="3281"/>
      <c r="K110" s="2898"/>
      <c r="L110" s="2898"/>
      <c r="M110" s="2898"/>
      <c r="N110" s="2898"/>
    </row>
    <row r="112" spans="1:14" ht="13.5" thickBot="1"/>
    <row r="113" spans="1:13" ht="25.5" thickBot="1">
      <c r="A113" s="902" t="s">
        <v>2974</v>
      </c>
      <c r="B113" s="1289">
        <f>G3</f>
        <v>1.01</v>
      </c>
      <c r="C113" s="903" t="s">
        <v>2975</v>
      </c>
      <c r="D113" s="904">
        <f>SUMPRODUCT((A115:A118=F113)*(B114:M114=H113)*B115:M118)</f>
        <v>0</v>
      </c>
      <c r="E113" s="2721" t="s">
        <v>2805</v>
      </c>
      <c r="F113" s="2900">
        <f>E2</f>
        <v>0</v>
      </c>
      <c r="G113" s="2721" t="s">
        <v>2806</v>
      </c>
      <c r="H113" s="2900">
        <f>G2</f>
        <v>0</v>
      </c>
      <c r="I113" s="2721"/>
      <c r="J113" s="2901"/>
      <c r="K113" s="2901"/>
      <c r="L113" s="2901"/>
      <c r="M113" s="2901"/>
    </row>
    <row r="114" spans="1:13">
      <c r="A114" s="907"/>
      <c r="B114" s="2902" t="s">
        <v>2976</v>
      </c>
      <c r="C114" s="2902" t="s">
        <v>2977</v>
      </c>
      <c r="D114" s="2902" t="s">
        <v>2978</v>
      </c>
      <c r="E114" s="2903" t="s">
        <v>2979</v>
      </c>
      <c r="F114" s="2903" t="s">
        <v>2980</v>
      </c>
      <c r="G114" s="2903" t="s">
        <v>2981</v>
      </c>
      <c r="H114" s="2904" t="s">
        <v>2982</v>
      </c>
      <c r="I114" s="2904" t="s">
        <v>2983</v>
      </c>
      <c r="J114" s="2905" t="s">
        <v>2984</v>
      </c>
      <c r="K114" s="2905" t="s">
        <v>2985</v>
      </c>
      <c r="L114" s="2905" t="s">
        <v>2986</v>
      </c>
      <c r="M114" s="2906" t="s">
        <v>2987</v>
      </c>
    </row>
    <row r="115" spans="1:13">
      <c r="A115" s="908" t="s">
        <v>2870</v>
      </c>
      <c r="B115" s="909">
        <f>ROUND(0.9335-0.0094*B113,4)</f>
        <v>0.92400000000000004</v>
      </c>
      <c r="C115" s="909">
        <f>B115</f>
        <v>0.92400000000000004</v>
      </c>
      <c r="D115" s="909">
        <f>ROUND(0.8331-0.0109*B113,4)</f>
        <v>0.82210000000000005</v>
      </c>
      <c r="E115" s="909">
        <f>D115</f>
        <v>0.82210000000000005</v>
      </c>
      <c r="F115" s="909">
        <f>E115</f>
        <v>0.82210000000000005</v>
      </c>
      <c r="G115" s="909">
        <f>F115</f>
        <v>0.82210000000000005</v>
      </c>
      <c r="H115" s="909">
        <f>G115</f>
        <v>0.82210000000000005</v>
      </c>
      <c r="I115" s="909">
        <f>ROUND(0.689-0.0155*B113,4)</f>
        <v>0.67330000000000001</v>
      </c>
      <c r="J115" s="909">
        <f t="shared" ref="J115:M118" si="33">I115</f>
        <v>0.67330000000000001</v>
      </c>
      <c r="K115" s="909">
        <f t="shared" si="33"/>
        <v>0.67330000000000001</v>
      </c>
      <c r="L115" s="909">
        <f t="shared" si="33"/>
        <v>0.67330000000000001</v>
      </c>
      <c r="M115" s="910">
        <f t="shared" si="33"/>
        <v>0.67330000000000001</v>
      </c>
    </row>
    <row r="116" spans="1:13">
      <c r="A116" s="908" t="s">
        <v>2871</v>
      </c>
      <c r="B116" s="909">
        <f>ROUND(0.949-0.012*B113,4)</f>
        <v>0.93689999999999996</v>
      </c>
      <c r="C116" s="909">
        <f>B116</f>
        <v>0.93689999999999996</v>
      </c>
      <c r="D116" s="909">
        <f>ROUND(0.8567-0.013*B113,4)</f>
        <v>0.84360000000000002</v>
      </c>
      <c r="E116" s="909">
        <f t="shared" ref="E116:H117" si="34">D116</f>
        <v>0.84360000000000002</v>
      </c>
      <c r="F116" s="909">
        <f t="shared" si="34"/>
        <v>0.84360000000000002</v>
      </c>
      <c r="G116" s="909">
        <f t="shared" si="34"/>
        <v>0.84360000000000002</v>
      </c>
      <c r="H116" s="909">
        <f t="shared" si="34"/>
        <v>0.84360000000000002</v>
      </c>
      <c r="I116" s="909">
        <f>ROUND(0.7694-0.014*B113,4)</f>
        <v>0.75529999999999997</v>
      </c>
      <c r="J116" s="909">
        <f t="shared" si="33"/>
        <v>0.75529999999999997</v>
      </c>
      <c r="K116" s="909">
        <f t="shared" si="33"/>
        <v>0.75529999999999997</v>
      </c>
      <c r="L116" s="909">
        <f t="shared" si="33"/>
        <v>0.75529999999999997</v>
      </c>
      <c r="M116" s="910">
        <f t="shared" si="33"/>
        <v>0.75529999999999997</v>
      </c>
    </row>
    <row r="117" spans="1:13">
      <c r="A117" s="908" t="s">
        <v>2872</v>
      </c>
      <c r="B117" s="909">
        <f>ROUND(0.8808-0.006*B113,4)</f>
        <v>0.87470000000000003</v>
      </c>
      <c r="C117" s="909">
        <f>B117</f>
        <v>0.87470000000000003</v>
      </c>
      <c r="D117" s="909">
        <f>ROUND(0.8748-0.008*B113,4)</f>
        <v>0.86670000000000003</v>
      </c>
      <c r="E117" s="909">
        <f t="shared" si="34"/>
        <v>0.86670000000000003</v>
      </c>
      <c r="F117" s="909">
        <f t="shared" si="34"/>
        <v>0.86670000000000003</v>
      </c>
      <c r="G117" s="909">
        <f t="shared" si="34"/>
        <v>0.86670000000000003</v>
      </c>
      <c r="H117" s="909">
        <f t="shared" si="34"/>
        <v>0.86670000000000003</v>
      </c>
      <c r="I117" s="909">
        <f>ROUND(0.7412-0.0095*B113,4)</f>
        <v>0.73160000000000003</v>
      </c>
      <c r="J117" s="909">
        <f t="shared" si="33"/>
        <v>0.73160000000000003</v>
      </c>
      <c r="K117" s="909">
        <f t="shared" si="33"/>
        <v>0.73160000000000003</v>
      </c>
      <c r="L117" s="909">
        <f t="shared" si="33"/>
        <v>0.73160000000000003</v>
      </c>
      <c r="M117" s="910">
        <f t="shared" si="33"/>
        <v>0.73160000000000003</v>
      </c>
    </row>
    <row r="118" spans="1:13" ht="13.5" thickBot="1">
      <c r="A118" s="713" t="s">
        <v>2873</v>
      </c>
      <c r="B118" s="911">
        <f>ROUND(0.7275-0.01*B113,4)</f>
        <v>0.71740000000000004</v>
      </c>
      <c r="C118" s="911">
        <f>B118</f>
        <v>0.71740000000000004</v>
      </c>
      <c r="D118" s="911">
        <f>ROUND(0.7043-0.012*B113,4)</f>
        <v>0.69220000000000004</v>
      </c>
      <c r="E118" s="911">
        <f>D118</f>
        <v>0.69220000000000004</v>
      </c>
      <c r="F118" s="911">
        <f>E118</f>
        <v>0.69220000000000004</v>
      </c>
      <c r="G118" s="911">
        <f>ROUND(0.6299-0.0122*B113,4)</f>
        <v>0.61760000000000004</v>
      </c>
      <c r="H118" s="911">
        <f>G118</f>
        <v>0.61760000000000004</v>
      </c>
      <c r="I118" s="911">
        <f>ROUND(0.5667-0.0136*B113,4)</f>
        <v>0.55300000000000005</v>
      </c>
      <c r="J118" s="911">
        <f t="shared" si="33"/>
        <v>0.55300000000000005</v>
      </c>
      <c r="K118" s="911">
        <f t="shared" si="33"/>
        <v>0.55300000000000005</v>
      </c>
      <c r="L118" s="911">
        <f t="shared" si="33"/>
        <v>0.55300000000000005</v>
      </c>
      <c r="M118" s="912">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8" t="s">
        <v>183</v>
      </c>
      <c r="B18" s="881" t="s">
        <v>560</v>
      </c>
      <c r="C18" s="882" t="s">
        <v>561</v>
      </c>
      <c r="D18" s="883"/>
      <c r="E18" s="881">
        <v>1</v>
      </c>
      <c r="F18" s="884" t="s">
        <v>562</v>
      </c>
      <c r="G18" s="885"/>
      <c r="H18" s="877"/>
      <c r="I18" s="877"/>
    </row>
    <row r="19" spans="1:9" s="886" customFormat="1" ht="19.5" customHeight="1">
      <c r="A19" s="3298"/>
      <c r="B19" s="3298" t="s">
        <v>563</v>
      </c>
      <c r="C19" s="882" t="s">
        <v>564</v>
      </c>
      <c r="D19" s="883"/>
      <c r="E19" s="881">
        <v>0.9</v>
      </c>
      <c r="F19" s="884" t="s">
        <v>565</v>
      </c>
      <c r="G19" s="885"/>
      <c r="H19" s="877"/>
      <c r="I19" s="877"/>
    </row>
    <row r="20" spans="1:9" s="886" customFormat="1" ht="19.5" customHeight="1">
      <c r="A20" s="3298"/>
      <c r="B20" s="3298"/>
      <c r="C20" s="882" t="s">
        <v>566</v>
      </c>
      <c r="D20" s="883"/>
      <c r="E20" s="881">
        <v>1.1000000000000001</v>
      </c>
      <c r="F20" s="884" t="s">
        <v>567</v>
      </c>
      <c r="G20" s="885"/>
      <c r="H20" s="877"/>
      <c r="I20" s="877"/>
    </row>
    <row r="21" spans="1:9" s="886" customFormat="1" ht="19.5" customHeight="1">
      <c r="A21" s="3298"/>
      <c r="B21" s="3298"/>
      <c r="C21" s="882" t="s">
        <v>568</v>
      </c>
      <c r="D21" s="883"/>
      <c r="E21" s="881">
        <v>0.8</v>
      </c>
      <c r="F21" s="884" t="s">
        <v>569</v>
      </c>
      <c r="G21" s="885"/>
      <c r="H21" s="877"/>
      <c r="I21" s="877"/>
    </row>
    <row r="22" spans="1:9" s="886" customFormat="1" ht="19.5" customHeight="1">
      <c r="A22" s="3298"/>
      <c r="B22" s="3298"/>
      <c r="C22" s="882" t="s">
        <v>570</v>
      </c>
      <c r="D22" s="883"/>
      <c r="E22" s="881">
        <v>0.5</v>
      </c>
      <c r="F22" s="884"/>
      <c r="G22" s="885"/>
      <c r="H22" s="877"/>
      <c r="I22" s="877"/>
    </row>
    <row r="23" spans="1:9" s="886" customFormat="1" ht="19.5" customHeight="1">
      <c r="A23" s="3298" t="s">
        <v>184</v>
      </c>
      <c r="B23" s="881" t="s">
        <v>560</v>
      </c>
      <c r="C23" s="882" t="s">
        <v>571</v>
      </c>
      <c r="D23" s="883"/>
      <c r="E23" s="881">
        <v>1</v>
      </c>
      <c r="F23" s="884" t="s">
        <v>572</v>
      </c>
      <c r="G23" s="885"/>
      <c r="H23" s="877"/>
      <c r="I23" s="877"/>
    </row>
    <row r="24" spans="1:9" s="886" customFormat="1" ht="19.5" customHeight="1">
      <c r="A24" s="3298"/>
      <c r="B24" s="3298" t="s">
        <v>563</v>
      </c>
      <c r="C24" s="882" t="s">
        <v>573</v>
      </c>
      <c r="D24" s="883"/>
      <c r="E24" s="881">
        <v>0.5</v>
      </c>
      <c r="F24" s="884"/>
      <c r="G24" s="885"/>
      <c r="H24" s="877"/>
      <c r="I24" s="877"/>
    </row>
    <row r="25" spans="1:9" s="886" customFormat="1" ht="19.5" customHeight="1">
      <c r="A25" s="3298"/>
      <c r="B25" s="3298"/>
      <c r="C25" s="882" t="s">
        <v>574</v>
      </c>
      <c r="D25" s="883"/>
      <c r="E25" s="881">
        <v>1.1000000000000001</v>
      </c>
      <c r="F25" s="884"/>
      <c r="G25" s="885"/>
      <c r="H25" s="877"/>
      <c r="I25" s="877"/>
    </row>
    <row r="26" spans="1:9" s="886" customFormat="1" ht="19.5" customHeight="1">
      <c r="A26" s="3298"/>
      <c r="B26" s="3298"/>
      <c r="C26" s="882" t="s">
        <v>575</v>
      </c>
      <c r="D26" s="883"/>
      <c r="E26" s="881">
        <v>1.1000000000000001</v>
      </c>
      <c r="F26" s="884"/>
      <c r="G26" s="885"/>
      <c r="H26" s="877"/>
      <c r="I26" s="877"/>
    </row>
    <row r="27" spans="1:9" s="886" customFormat="1" ht="19.5" customHeight="1">
      <c r="A27" s="3298"/>
      <c r="B27" s="3298"/>
      <c r="C27" s="882" t="s">
        <v>576</v>
      </c>
      <c r="D27" s="883"/>
      <c r="E27" s="881">
        <v>0.9</v>
      </c>
      <c r="F27" s="884" t="s">
        <v>577</v>
      </c>
      <c r="G27" s="885"/>
      <c r="H27" s="877"/>
      <c r="I27" s="877"/>
    </row>
    <row r="28" spans="1:9" s="886" customFormat="1" ht="19.5" customHeight="1">
      <c r="A28" s="3298"/>
      <c r="B28" s="3298"/>
      <c r="C28" s="882" t="s">
        <v>578</v>
      </c>
      <c r="D28" s="883"/>
      <c r="E28" s="881">
        <v>0.9</v>
      </c>
      <c r="F28" s="884" t="s">
        <v>579</v>
      </c>
      <c r="G28" s="885"/>
      <c r="H28" s="877"/>
      <c r="I28" s="877"/>
    </row>
    <row r="29" spans="1:9" s="886" customFormat="1" ht="19.5" customHeight="1">
      <c r="A29" s="3298"/>
      <c r="B29" s="3298"/>
      <c r="C29" s="882" t="s">
        <v>580</v>
      </c>
      <c r="D29" s="883"/>
      <c r="E29" s="881">
        <v>0.9</v>
      </c>
      <c r="F29" s="884" t="s">
        <v>581</v>
      </c>
      <c r="G29" s="885"/>
      <c r="H29" s="877"/>
      <c r="I29" s="877"/>
    </row>
    <row r="30" spans="1:9" s="886" customFormat="1" ht="19.5" customHeight="1">
      <c r="A30" s="3298"/>
      <c r="B30" s="3298"/>
      <c r="C30" s="882" t="s">
        <v>582</v>
      </c>
      <c r="D30" s="883"/>
      <c r="E30" s="881">
        <v>0.9</v>
      </c>
      <c r="F30" s="884" t="s">
        <v>583</v>
      </c>
      <c r="G30" s="885"/>
      <c r="H30" s="877"/>
      <c r="I30" s="877"/>
    </row>
    <row r="31" spans="1:9" s="886" customFormat="1" ht="19.5" customHeight="1">
      <c r="A31" s="3298"/>
      <c r="B31" s="3298"/>
      <c r="C31" s="882" t="s">
        <v>584</v>
      </c>
      <c r="D31" s="883"/>
      <c r="E31" s="881">
        <v>0.8</v>
      </c>
      <c r="F31" s="884" t="s">
        <v>585</v>
      </c>
      <c r="G31" s="885"/>
      <c r="H31" s="877"/>
      <c r="I31" s="877"/>
    </row>
    <row r="32" spans="1:9" s="886" customFormat="1" ht="19.5" customHeight="1">
      <c r="A32" s="3298"/>
      <c r="B32" s="3298"/>
      <c r="C32" s="882" t="s">
        <v>586</v>
      </c>
      <c r="D32" s="883"/>
      <c r="E32" s="881">
        <v>0.8</v>
      </c>
      <c r="F32" s="884" t="s">
        <v>587</v>
      </c>
      <c r="G32" s="885"/>
      <c r="H32" s="877"/>
      <c r="I32" s="877"/>
    </row>
    <row r="33" spans="1:9" s="886" customFormat="1" ht="19.5" customHeight="1">
      <c r="A33" s="3298" t="s">
        <v>185</v>
      </c>
      <c r="B33" s="881" t="s">
        <v>560</v>
      </c>
      <c r="C33" s="882" t="s">
        <v>588</v>
      </c>
      <c r="D33" s="883"/>
      <c r="E33" s="881">
        <v>1</v>
      </c>
      <c r="F33" s="884" t="s">
        <v>589</v>
      </c>
      <c r="G33" s="885"/>
      <c r="H33" s="877"/>
      <c r="I33" s="877"/>
    </row>
    <row r="34" spans="1:9" s="886" customFormat="1" ht="19.5" customHeight="1">
      <c r="A34" s="3298"/>
      <c r="B34" s="881" t="s">
        <v>563</v>
      </c>
      <c r="C34" s="882" t="s">
        <v>590</v>
      </c>
      <c r="D34" s="883"/>
      <c r="E34" s="881">
        <v>1.5</v>
      </c>
      <c r="F34" s="884" t="s">
        <v>591</v>
      </c>
      <c r="G34" s="885"/>
      <c r="H34" s="877"/>
      <c r="I34" s="877"/>
    </row>
    <row r="35" spans="1:9" s="886" customFormat="1" ht="19.5" customHeight="1">
      <c r="A35" s="3298" t="s">
        <v>186</v>
      </c>
      <c r="B35" s="881" t="s">
        <v>560</v>
      </c>
      <c r="C35" s="882" t="s">
        <v>592</v>
      </c>
      <c r="D35" s="883"/>
      <c r="E35" s="881">
        <v>1</v>
      </c>
      <c r="F35" s="884" t="s">
        <v>593</v>
      </c>
      <c r="G35" s="885"/>
      <c r="H35" s="877"/>
      <c r="I35" s="877"/>
    </row>
    <row r="36" spans="1:9" s="886" customFormat="1" ht="19.5" customHeight="1">
      <c r="A36" s="3298"/>
      <c r="B36" s="3298" t="s">
        <v>563</v>
      </c>
      <c r="C36" s="882" t="s">
        <v>594</v>
      </c>
      <c r="D36" s="883"/>
      <c r="E36" s="881">
        <v>1</v>
      </c>
      <c r="F36" s="884" t="s">
        <v>595</v>
      </c>
      <c r="G36" s="885"/>
      <c r="H36" s="877"/>
      <c r="I36" s="877"/>
    </row>
    <row r="37" spans="1:9" s="886" customFormat="1" ht="19.5" customHeight="1">
      <c r="A37" s="3298"/>
      <c r="B37" s="3298"/>
      <c r="C37" s="882" t="s">
        <v>596</v>
      </c>
      <c r="D37" s="883"/>
      <c r="E37" s="881">
        <v>1.5</v>
      </c>
      <c r="F37" s="884" t="s">
        <v>597</v>
      </c>
      <c r="G37" s="885"/>
      <c r="H37" s="877"/>
      <c r="I37" s="877"/>
    </row>
    <row r="38" spans="1:9" s="886" customFormat="1" ht="19.5" customHeight="1">
      <c r="A38" s="3298"/>
      <c r="B38" s="3298"/>
      <c r="C38" s="882" t="s">
        <v>598</v>
      </c>
      <c r="D38" s="883"/>
      <c r="E38" s="881">
        <v>1</v>
      </c>
      <c r="F38" s="884" t="s">
        <v>599</v>
      </c>
      <c r="G38" s="885"/>
      <c r="H38" s="877"/>
      <c r="I38" s="877"/>
    </row>
    <row r="39" spans="1:9" s="886" customFormat="1" ht="19.5" customHeight="1">
      <c r="A39" s="3298"/>
      <c r="B39" s="329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8" t="s">
        <v>614</v>
      </c>
      <c r="C61" s="817" t="s">
        <v>615</v>
      </c>
      <c r="D61" s="817" t="s">
        <v>616</v>
      </c>
      <c r="E61" s="894">
        <v>0.5</v>
      </c>
      <c r="F61" s="881">
        <v>80</v>
      </c>
    </row>
    <row r="62" spans="1:8" s="877" customFormat="1" ht="24">
      <c r="A62" s="881">
        <v>2</v>
      </c>
      <c r="B62" s="3298"/>
      <c r="C62" s="817" t="s">
        <v>617</v>
      </c>
      <c r="D62" s="817" t="s">
        <v>618</v>
      </c>
      <c r="E62" s="894">
        <v>0.5</v>
      </c>
      <c r="F62" s="881">
        <v>80</v>
      </c>
    </row>
    <row r="63" spans="1:8" s="877" customFormat="1" ht="36">
      <c r="A63" s="881">
        <v>3</v>
      </c>
      <c r="B63" s="3298"/>
      <c r="C63" s="817" t="s">
        <v>619</v>
      </c>
      <c r="D63" s="817" t="s">
        <v>620</v>
      </c>
      <c r="E63" s="894">
        <v>0.5</v>
      </c>
      <c r="F63" s="881">
        <v>80</v>
      </c>
    </row>
    <row r="64" spans="1:8" s="877" customFormat="1" ht="36">
      <c r="A64" s="881">
        <v>4</v>
      </c>
      <c r="B64" s="3298"/>
      <c r="C64" s="817" t="s">
        <v>621</v>
      </c>
      <c r="D64" s="817" t="s">
        <v>622</v>
      </c>
      <c r="E64" s="894">
        <v>0.4</v>
      </c>
      <c r="F64" s="881">
        <v>60</v>
      </c>
    </row>
    <row r="65" spans="1:6" s="877" customFormat="1" ht="36">
      <c r="A65" s="881">
        <v>5</v>
      </c>
      <c r="B65" s="3298"/>
      <c r="C65" s="817" t="s">
        <v>623</v>
      </c>
      <c r="D65" s="817" t="s">
        <v>624</v>
      </c>
      <c r="E65" s="894">
        <v>0.2</v>
      </c>
      <c r="F65" s="881">
        <v>30</v>
      </c>
    </row>
    <row r="66" spans="1:6" s="877" customFormat="1" ht="36">
      <c r="A66" s="881">
        <v>6</v>
      </c>
      <c r="B66" s="3298"/>
      <c r="C66" s="817" t="s">
        <v>625</v>
      </c>
      <c r="D66" s="817" t="s">
        <v>626</v>
      </c>
      <c r="E66" s="894">
        <v>0.3</v>
      </c>
      <c r="F66" s="881">
        <v>50</v>
      </c>
    </row>
    <row r="67" spans="1:6" s="877" customFormat="1" ht="36">
      <c r="A67" s="881">
        <v>7</v>
      </c>
      <c r="B67" s="3298"/>
      <c r="C67" s="817" t="s">
        <v>627</v>
      </c>
      <c r="D67" s="817" t="s">
        <v>628</v>
      </c>
      <c r="E67" s="894">
        <v>0.2</v>
      </c>
      <c r="F67" s="881">
        <v>30</v>
      </c>
    </row>
    <row r="68" spans="1:6" s="877" customFormat="1" ht="36">
      <c r="A68" s="881">
        <v>8</v>
      </c>
      <c r="B68" s="3298"/>
      <c r="C68" s="817" t="s">
        <v>629</v>
      </c>
      <c r="D68" s="817" t="s">
        <v>630</v>
      </c>
      <c r="E68" s="894">
        <v>0.2</v>
      </c>
      <c r="F68" s="881">
        <v>30</v>
      </c>
    </row>
    <row r="69" spans="1:6" s="877" customFormat="1" ht="36">
      <c r="A69" s="881">
        <v>9</v>
      </c>
      <c r="B69" s="3298"/>
      <c r="C69" s="817" t="s">
        <v>631</v>
      </c>
      <c r="D69" s="817" t="s">
        <v>632</v>
      </c>
      <c r="E69" s="894">
        <v>0.2</v>
      </c>
      <c r="F69" s="881">
        <v>30</v>
      </c>
    </row>
    <row r="70" spans="1:6" s="877" customFormat="1" ht="48">
      <c r="A70" s="881">
        <v>10</v>
      </c>
      <c r="B70" s="3298"/>
      <c r="C70" s="817" t="s">
        <v>633</v>
      </c>
      <c r="D70" s="817" t="s">
        <v>634</v>
      </c>
      <c r="E70" s="894">
        <v>0.2</v>
      </c>
      <c r="F70" s="881">
        <v>30</v>
      </c>
    </row>
    <row r="71" spans="1:6" s="877" customFormat="1" ht="48">
      <c r="A71" s="881">
        <v>11</v>
      </c>
      <c r="B71" s="3298"/>
      <c r="C71" s="817" t="s">
        <v>635</v>
      </c>
      <c r="D71" s="817" t="s">
        <v>636</v>
      </c>
      <c r="E71" s="894">
        <v>0.2</v>
      </c>
      <c r="F71" s="881">
        <v>30</v>
      </c>
    </row>
    <row r="72" spans="1:6" s="877" customFormat="1" ht="36">
      <c r="A72" s="881">
        <v>12</v>
      </c>
      <c r="B72" s="3298"/>
      <c r="C72" s="817" t="s">
        <v>637</v>
      </c>
      <c r="D72" s="817" t="s">
        <v>638</v>
      </c>
      <c r="E72" s="894">
        <v>0.5</v>
      </c>
      <c r="F72" s="881">
        <v>80</v>
      </c>
    </row>
    <row r="73" spans="1:6" s="877" customFormat="1" ht="24">
      <c r="A73" s="881">
        <v>13</v>
      </c>
      <c r="B73" s="3298"/>
      <c r="C73" s="817" t="s">
        <v>639</v>
      </c>
      <c r="D73" s="817" t="s">
        <v>640</v>
      </c>
      <c r="E73" s="894">
        <v>0.4</v>
      </c>
      <c r="F73" s="881">
        <v>60</v>
      </c>
    </row>
    <row r="74" spans="1:6" s="877" customFormat="1" ht="24">
      <c r="A74" s="881">
        <v>14</v>
      </c>
      <c r="B74" s="3298"/>
      <c r="C74" s="817" t="s">
        <v>641</v>
      </c>
      <c r="D74" s="817" t="s">
        <v>642</v>
      </c>
      <c r="E74" s="894">
        <v>0.2</v>
      </c>
      <c r="F74" s="881">
        <v>30</v>
      </c>
    </row>
    <row r="75" spans="1:6" s="877" customFormat="1" ht="24">
      <c r="A75" s="881">
        <v>15</v>
      </c>
      <c r="B75" s="3298"/>
      <c r="C75" s="817" t="s">
        <v>643</v>
      </c>
      <c r="D75" s="817" t="s">
        <v>644</v>
      </c>
      <c r="E75" s="894">
        <v>0.2</v>
      </c>
      <c r="F75" s="881">
        <v>30</v>
      </c>
    </row>
    <row r="76" spans="1:6" s="877" customFormat="1" ht="24">
      <c r="A76" s="881">
        <v>16</v>
      </c>
      <c r="B76" s="3298" t="s">
        <v>645</v>
      </c>
      <c r="C76" s="817" t="s">
        <v>646</v>
      </c>
      <c r="D76" s="817" t="s">
        <v>647</v>
      </c>
      <c r="E76" s="894">
        <v>0.5</v>
      </c>
      <c r="F76" s="881">
        <v>80</v>
      </c>
    </row>
    <row r="77" spans="1:6" s="877" customFormat="1" ht="24">
      <c r="A77" s="881">
        <v>17</v>
      </c>
      <c r="B77" s="3298"/>
      <c r="C77" s="817" t="s">
        <v>648</v>
      </c>
      <c r="D77" s="817" t="s">
        <v>649</v>
      </c>
      <c r="E77" s="894">
        <v>0.5</v>
      </c>
      <c r="F77" s="881">
        <v>80</v>
      </c>
    </row>
    <row r="78" spans="1:6" s="877" customFormat="1" ht="24">
      <c r="A78" s="881">
        <v>18</v>
      </c>
      <c r="B78" s="3298"/>
      <c r="C78" s="817" t="s">
        <v>650</v>
      </c>
      <c r="D78" s="817" t="s">
        <v>651</v>
      </c>
      <c r="E78" s="894">
        <v>0.2</v>
      </c>
      <c r="F78" s="881">
        <v>30</v>
      </c>
    </row>
    <row r="79" spans="1:6" s="877" customFormat="1" ht="24">
      <c r="A79" s="881">
        <v>19</v>
      </c>
      <c r="B79" s="3298"/>
      <c r="C79" s="817" t="s">
        <v>652</v>
      </c>
      <c r="D79" s="817" t="s">
        <v>653</v>
      </c>
      <c r="E79" s="894">
        <v>0.5</v>
      </c>
      <c r="F79" s="881">
        <v>80</v>
      </c>
    </row>
    <row r="80" spans="1:6" s="877" customFormat="1" ht="36">
      <c r="A80" s="881">
        <v>20</v>
      </c>
      <c r="B80" s="3298"/>
      <c r="C80" s="817" t="s">
        <v>654</v>
      </c>
      <c r="D80" s="817" t="s">
        <v>655</v>
      </c>
      <c r="E80" s="894">
        <v>0.2</v>
      </c>
      <c r="F80" s="881">
        <v>30</v>
      </c>
    </row>
    <row r="81" spans="1:6" s="877" customFormat="1" ht="36">
      <c r="A81" s="881">
        <v>21</v>
      </c>
      <c r="B81" s="3298"/>
      <c r="C81" s="817" t="s">
        <v>656</v>
      </c>
      <c r="D81" s="817" t="s">
        <v>657</v>
      </c>
      <c r="E81" s="894">
        <v>0.2</v>
      </c>
      <c r="F81" s="881">
        <v>30</v>
      </c>
    </row>
    <row r="82" spans="1:6" s="877" customFormat="1" ht="48">
      <c r="A82" s="881">
        <v>22</v>
      </c>
      <c r="B82" s="3298"/>
      <c r="C82" s="817" t="s">
        <v>658</v>
      </c>
      <c r="D82" s="817" t="s">
        <v>659</v>
      </c>
      <c r="E82" s="894">
        <v>0.2</v>
      </c>
      <c r="F82" s="881">
        <v>30</v>
      </c>
    </row>
    <row r="83" spans="1:6" s="877" customFormat="1" ht="48">
      <c r="A83" s="881">
        <v>23</v>
      </c>
      <c r="B83" s="3298"/>
      <c r="C83" s="817" t="s">
        <v>660</v>
      </c>
      <c r="D83" s="817" t="s">
        <v>661</v>
      </c>
      <c r="E83" s="894">
        <v>0.2</v>
      </c>
      <c r="F83" s="881">
        <v>30</v>
      </c>
    </row>
    <row r="84" spans="1:6" s="877" customFormat="1" ht="36">
      <c r="A84" s="881">
        <v>24</v>
      </c>
      <c r="B84" s="3298"/>
      <c r="C84" s="817" t="s">
        <v>662</v>
      </c>
      <c r="D84" s="817" t="s">
        <v>663</v>
      </c>
      <c r="E84" s="894">
        <v>0.2</v>
      </c>
      <c r="F84" s="881">
        <v>30</v>
      </c>
    </row>
    <row r="85" spans="1:6" s="877" customFormat="1" ht="36">
      <c r="A85" s="881">
        <v>25</v>
      </c>
      <c r="B85" s="3298"/>
      <c r="C85" s="817" t="s">
        <v>664</v>
      </c>
      <c r="D85" s="817" t="s">
        <v>665</v>
      </c>
      <c r="E85" s="894">
        <v>0.5</v>
      </c>
      <c r="F85" s="881">
        <v>80</v>
      </c>
    </row>
    <row r="86" spans="1:6" s="877" customFormat="1" ht="36">
      <c r="A86" s="881">
        <v>26</v>
      </c>
      <c r="B86" s="3298"/>
      <c r="C86" s="817" t="s">
        <v>666</v>
      </c>
      <c r="D86" s="817" t="s">
        <v>667</v>
      </c>
      <c r="E86" s="894">
        <v>0.2</v>
      </c>
      <c r="F86" s="881">
        <v>30</v>
      </c>
    </row>
    <row r="87" spans="1:6" s="877" customFormat="1" ht="36">
      <c r="A87" s="881">
        <v>27</v>
      </c>
      <c r="B87" s="3298"/>
      <c r="C87" s="817" t="s">
        <v>668</v>
      </c>
      <c r="D87" s="817" t="s">
        <v>669</v>
      </c>
      <c r="E87" s="894">
        <v>0.2</v>
      </c>
      <c r="F87" s="881">
        <v>30</v>
      </c>
    </row>
    <row r="88" spans="1:6" s="877" customFormat="1" ht="36">
      <c r="A88" s="881">
        <v>28</v>
      </c>
      <c r="B88" s="3298"/>
      <c r="C88" s="817" t="s">
        <v>670</v>
      </c>
      <c r="D88" s="817" t="s">
        <v>671</v>
      </c>
      <c r="E88" s="894">
        <v>0.2</v>
      </c>
      <c r="F88" s="881">
        <v>30</v>
      </c>
    </row>
    <row r="89" spans="1:6" s="877" customFormat="1" ht="24">
      <c r="A89" s="881">
        <v>29</v>
      </c>
      <c r="B89" s="3298"/>
      <c r="C89" s="817" t="s">
        <v>672</v>
      </c>
      <c r="D89" s="817" t="s">
        <v>673</v>
      </c>
      <c r="E89" s="894">
        <v>0.2</v>
      </c>
      <c r="F89" s="881">
        <v>30</v>
      </c>
    </row>
    <row r="90" spans="1:6" s="877" customFormat="1" ht="24">
      <c r="A90" s="881">
        <v>30</v>
      </c>
      <c r="B90" s="3298"/>
      <c r="C90" s="817" t="s">
        <v>674</v>
      </c>
      <c r="D90" s="817" t="s">
        <v>675</v>
      </c>
      <c r="E90" s="894">
        <v>0.2</v>
      </c>
      <c r="F90" s="881">
        <v>30</v>
      </c>
    </row>
    <row r="91" spans="1:6" s="877" customFormat="1" ht="36">
      <c r="A91" s="881">
        <v>31</v>
      </c>
      <c r="B91" s="3298"/>
      <c r="C91" s="817" t="s">
        <v>676</v>
      </c>
      <c r="D91" s="817" t="s">
        <v>677</v>
      </c>
      <c r="E91" s="894">
        <v>0.2</v>
      </c>
      <c r="F91" s="881">
        <v>30</v>
      </c>
    </row>
    <row r="92" spans="1:6" s="877" customFormat="1" ht="24">
      <c r="A92" s="881">
        <v>32</v>
      </c>
      <c r="B92" s="3298" t="s">
        <v>678</v>
      </c>
      <c r="C92" s="881" t="s">
        <v>679</v>
      </c>
      <c r="D92" s="817" t="s">
        <v>680</v>
      </c>
      <c r="E92" s="894">
        <v>0.2</v>
      </c>
      <c r="F92" s="881">
        <v>30</v>
      </c>
    </row>
    <row r="93" spans="1:6" s="877" customFormat="1" ht="36">
      <c r="A93" s="881">
        <v>33</v>
      </c>
      <c r="B93" s="3298"/>
      <c r="C93" s="881" t="s">
        <v>681</v>
      </c>
      <c r="D93" s="817" t="s">
        <v>682</v>
      </c>
      <c r="E93" s="894">
        <v>0.2</v>
      </c>
      <c r="F93" s="881">
        <v>30</v>
      </c>
    </row>
    <row r="94" spans="1:6" s="877" customFormat="1" ht="48">
      <c r="A94" s="881">
        <v>34</v>
      </c>
      <c r="B94" s="3298"/>
      <c r="C94" s="881" t="s">
        <v>683</v>
      </c>
      <c r="D94" s="817" t="s">
        <v>684</v>
      </c>
      <c r="E94" s="894">
        <v>0.2</v>
      </c>
      <c r="F94" s="881">
        <v>30</v>
      </c>
    </row>
    <row r="95" spans="1:6" s="877" customFormat="1" ht="36">
      <c r="A95" s="881">
        <v>35</v>
      </c>
      <c r="B95" s="3298"/>
      <c r="C95" s="881" t="s">
        <v>685</v>
      </c>
      <c r="D95" s="817" t="s">
        <v>686</v>
      </c>
      <c r="E95" s="894">
        <v>0.2</v>
      </c>
      <c r="F95" s="881">
        <v>30</v>
      </c>
    </row>
    <row r="96" spans="1:6" s="877" customFormat="1" ht="48">
      <c r="A96" s="881">
        <v>36</v>
      </c>
      <c r="B96" s="3298"/>
      <c r="C96" s="817" t="s">
        <v>687</v>
      </c>
      <c r="D96" s="817" t="s">
        <v>688</v>
      </c>
      <c r="E96" s="894">
        <v>0.2</v>
      </c>
      <c r="F96" s="881">
        <v>30</v>
      </c>
    </row>
    <row r="97" spans="1:6" s="877" customFormat="1" ht="36">
      <c r="A97" s="881">
        <v>37</v>
      </c>
      <c r="B97" s="3298"/>
      <c r="C97" s="881" t="s">
        <v>689</v>
      </c>
      <c r="D97" s="817" t="s">
        <v>690</v>
      </c>
      <c r="E97" s="894">
        <v>0.2</v>
      </c>
      <c r="F97" s="881">
        <v>30</v>
      </c>
    </row>
    <row r="98" spans="1:6" s="877" customFormat="1" ht="36">
      <c r="A98" s="881">
        <v>38</v>
      </c>
      <c r="B98" s="3298"/>
      <c r="C98" s="881" t="s">
        <v>691</v>
      </c>
      <c r="D98" s="817" t="s">
        <v>692</v>
      </c>
      <c r="E98" s="894">
        <v>0.2</v>
      </c>
      <c r="F98" s="881">
        <v>30</v>
      </c>
    </row>
    <row r="99" spans="1:6" s="877" customFormat="1" ht="36">
      <c r="A99" s="881">
        <v>39</v>
      </c>
      <c r="B99" s="3298" t="s">
        <v>693</v>
      </c>
      <c r="C99" s="881" t="s">
        <v>694</v>
      </c>
      <c r="D99" s="817" t="s">
        <v>695</v>
      </c>
      <c r="E99" s="894">
        <v>0.3</v>
      </c>
      <c r="F99" s="881">
        <v>50</v>
      </c>
    </row>
    <row r="100" spans="1:6" s="877" customFormat="1" ht="24">
      <c r="A100" s="881">
        <v>40</v>
      </c>
      <c r="B100" s="3298"/>
      <c r="C100" s="881" t="s">
        <v>696</v>
      </c>
      <c r="D100" s="817" t="s">
        <v>697</v>
      </c>
      <c r="E100" s="894">
        <v>0.2</v>
      </c>
      <c r="F100" s="881">
        <v>30</v>
      </c>
    </row>
    <row r="101" spans="1:6" s="877" customFormat="1" ht="36">
      <c r="A101" s="881">
        <v>41</v>
      </c>
      <c r="B101" s="329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8" t="s">
        <v>708</v>
      </c>
      <c r="C105" s="881" t="s">
        <v>709</v>
      </c>
      <c r="D105" s="817" t="s">
        <v>710</v>
      </c>
      <c r="E105" s="894">
        <v>0.2</v>
      </c>
      <c r="F105" s="881">
        <v>30</v>
      </c>
    </row>
    <row r="106" spans="1:6" s="877" customFormat="1" ht="36">
      <c r="A106" s="881">
        <v>46</v>
      </c>
      <c r="B106" s="3298"/>
      <c r="C106" s="881" t="s">
        <v>711</v>
      </c>
      <c r="D106" s="817" t="s">
        <v>712</v>
      </c>
      <c r="E106" s="894">
        <v>0.2</v>
      </c>
      <c r="F106" s="881">
        <v>30</v>
      </c>
    </row>
    <row r="107" spans="1:6" s="877" customFormat="1" ht="36">
      <c r="A107" s="881">
        <v>47</v>
      </c>
      <c r="B107" s="3298" t="s">
        <v>713</v>
      </c>
      <c r="C107" s="881" t="s">
        <v>714</v>
      </c>
      <c r="D107" s="817" t="s">
        <v>715</v>
      </c>
      <c r="E107" s="894">
        <v>0.3</v>
      </c>
      <c r="F107" s="881">
        <v>50</v>
      </c>
    </row>
    <row r="108" spans="1:6" s="877" customFormat="1" ht="36">
      <c r="A108" s="881">
        <v>48</v>
      </c>
      <c r="B108" s="329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8" t="s">
        <v>724</v>
      </c>
      <c r="C111" s="881" t="s">
        <v>725</v>
      </c>
      <c r="D111" s="817" t="s">
        <v>726</v>
      </c>
      <c r="E111" s="894">
        <v>0.2</v>
      </c>
      <c r="F111" s="881">
        <v>30</v>
      </c>
    </row>
    <row r="112" spans="1:6" s="877" customFormat="1" ht="24">
      <c r="A112" s="881">
        <v>52</v>
      </c>
      <c r="B112" s="3298"/>
      <c r="C112" s="881" t="s">
        <v>727</v>
      </c>
      <c r="D112" s="817" t="s">
        <v>728</v>
      </c>
      <c r="E112" s="894">
        <v>0.2</v>
      </c>
      <c r="F112" s="881">
        <v>30</v>
      </c>
    </row>
    <row r="113" spans="1:6" s="877" customFormat="1" ht="24">
      <c r="A113" s="881">
        <v>53</v>
      </c>
      <c r="B113" s="329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8" t="s">
        <v>737</v>
      </c>
      <c r="C116" s="881" t="s">
        <v>738</v>
      </c>
      <c r="D116" s="817" t="s">
        <v>739</v>
      </c>
      <c r="E116" s="894">
        <v>0.2</v>
      </c>
      <c r="F116" s="881">
        <v>30</v>
      </c>
    </row>
    <row r="117" spans="1:6" ht="36">
      <c r="A117" s="881">
        <v>57</v>
      </c>
      <c r="B117" s="329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2"/>
      <c r="B4" s="2987" t="s">
        <v>1630</v>
      </c>
      <c r="C4" s="2987"/>
      <c r="D4" s="2987"/>
      <c r="E4" s="1962"/>
    </row>
    <row r="5" spans="1:5" ht="16.5" thickTop="1">
      <c r="A5" s="1960"/>
      <c r="B5" s="2985" t="s">
        <v>1622</v>
      </c>
      <c r="C5" s="1963" t="s">
        <v>1623</v>
      </c>
      <c r="D5" s="1042">
        <f ca="1">结果表!H101</f>
        <v>992</v>
      </c>
      <c r="E5" s="1960"/>
    </row>
    <row r="6" spans="1:5" ht="15.75">
      <c r="A6" s="1960"/>
      <c r="B6" s="2985"/>
      <c r="C6" s="1963" t="s">
        <v>1624</v>
      </c>
      <c r="D6" s="1042" t="str">
        <f ca="1">NUMBERSTRING(INT(D5*10000),2)&amp;"元整"</f>
        <v>玖佰玖拾贰万元整</v>
      </c>
      <c r="E6" s="1960"/>
    </row>
    <row r="7" spans="1:5" ht="15.75">
      <c r="A7" s="1960"/>
      <c r="B7" s="2990"/>
      <c r="C7" s="1964" t="s">
        <v>1625</v>
      </c>
      <c r="D7" s="1043">
        <f ca="1">结果表!H102</f>
        <v>17032</v>
      </c>
      <c r="E7" s="1960"/>
    </row>
    <row r="8" spans="1:5" ht="15.75">
      <c r="A8" s="1960"/>
      <c r="B8" s="2991" t="str">
        <f>结果表!E103</f>
        <v>2.估价师知悉的法定优先受偿款</v>
      </c>
      <c r="C8" s="1965" t="s">
        <v>1626</v>
      </c>
      <c r="D8" s="1043">
        <f>结果表!H103</f>
        <v>0</v>
      </c>
      <c r="E8" s="1960"/>
    </row>
    <row r="9" spans="1:5" ht="15.75">
      <c r="A9" s="1960"/>
      <c r="B9" s="299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84" t="str">
        <f>结果表!E107</f>
        <v>3.房地产抵押价值</v>
      </c>
      <c r="C13" s="1968" t="s">
        <v>1623</v>
      </c>
      <c r="D13" s="1045">
        <f ca="1">结果表!H107</f>
        <v>992</v>
      </c>
      <c r="E13" s="1960"/>
    </row>
    <row r="14" spans="1:5" ht="15.75">
      <c r="A14" s="1960"/>
      <c r="B14" s="2985"/>
      <c r="C14" s="1963" t="s">
        <v>1624</v>
      </c>
      <c r="D14" s="1042" t="str">
        <f ca="1">NUMBERSTRING(INT(D13*10000),2)&amp;"元整"</f>
        <v>玖佰玖拾贰万元整</v>
      </c>
      <c r="E14" s="1960"/>
    </row>
    <row r="15" spans="1:5" ht="15">
      <c r="A15" s="1960"/>
      <c r="B15" s="2990"/>
      <c r="C15" s="1964" t="s">
        <v>1634</v>
      </c>
      <c r="D15" s="1054">
        <f ca="1">结果表!H108</f>
        <v>17032</v>
      </c>
      <c r="E15" s="1960"/>
    </row>
    <row r="16" spans="1:5" ht="15">
      <c r="A16" s="1960"/>
      <c r="B16" s="2991" t="str">
        <f>结果表!E109</f>
        <v>——</v>
      </c>
      <c r="C16" s="1968" t="s">
        <v>1635</v>
      </c>
      <c r="D16" s="1969" t="str">
        <f>结果表!H109</f>
        <v>——</v>
      </c>
      <c r="E16" s="1960"/>
    </row>
    <row r="17" spans="1:5" ht="15.75">
      <c r="A17" s="1960"/>
      <c r="B17" s="2992"/>
      <c r="C17" s="1963" t="s">
        <v>1636</v>
      </c>
      <c r="D17" s="1042" t="e">
        <f>NUMBERSTRING(INT(D16*10000),2)&amp;"元整"</f>
        <v>#VALUE!</v>
      </c>
      <c r="E17" s="1960"/>
    </row>
    <row r="18" spans="1:5" ht="15">
      <c r="A18" s="1960"/>
      <c r="B18" s="2993"/>
      <c r="C18" s="1964" t="s">
        <v>1625</v>
      </c>
      <c r="D18" s="1054" t="str">
        <f>结果表!H110</f>
        <v>——</v>
      </c>
      <c r="E18" s="1960"/>
    </row>
    <row r="19" spans="1:5" ht="15.75">
      <c r="A19" s="1960"/>
      <c r="B19" s="2984" t="str">
        <f>结果表!E111</f>
        <v>——</v>
      </c>
      <c r="C19" s="1968" t="s">
        <v>1623</v>
      </c>
      <c r="D19" s="1043" t="str">
        <f>结果表!H111</f>
        <v>——</v>
      </c>
      <c r="E19" s="1960"/>
    </row>
    <row r="20" spans="1:5" ht="15.75">
      <c r="A20" s="1960"/>
      <c r="B20" s="2985"/>
      <c r="C20" s="1963" t="s">
        <v>1636</v>
      </c>
      <c r="D20" s="1042" t="e">
        <f>NUMBERSTRING(INT(D19*10000),2)&amp;"元整"</f>
        <v>#VALUE!</v>
      </c>
      <c r="E20" s="1960"/>
    </row>
    <row r="21" spans="1:5" ht="15.75" thickBot="1">
      <c r="A21" s="1960"/>
      <c r="B21" s="298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2996</v>
      </c>
    </row>
    <row r="2" spans="1:5" ht="15.75">
      <c r="A2" s="2907" t="s">
        <v>2988</v>
      </c>
      <c r="B2" s="2908" t="e">
        <f ca="1">SUMIF(B6:B13,"&lt;&gt;#ref!",B6:B13)</f>
        <v>#DIV/0!</v>
      </c>
      <c r="C2" s="2907" t="s">
        <v>2989</v>
      </c>
      <c r="D2" s="2907" t="s">
        <v>2990</v>
      </c>
      <c r="E2" s="2908">
        <f ca="1">SUMIF(E6:E13,"&lt;&gt;#ref!",E6:E13)</f>
        <v>0</v>
      </c>
    </row>
    <row r="3" spans="1:5" ht="15.75">
      <c r="A3" s="2907" t="s">
        <v>2991</v>
      </c>
      <c r="B3" s="2908" t="e">
        <f ca="1">ROUND(B2*10000/E2,0)</f>
        <v>#DIV/0!</v>
      </c>
      <c r="C3" s="2907" t="s">
        <v>2997</v>
      </c>
      <c r="D3" s="2909"/>
      <c r="E3" s="2909"/>
    </row>
    <row r="4" spans="1:5" ht="15.75">
      <c r="A4" s="2910"/>
      <c r="B4" s="2909"/>
      <c r="C4" s="2909"/>
      <c r="D4" s="2909"/>
      <c r="E4" s="2909"/>
    </row>
    <row r="5" spans="1:5" ht="28.5">
      <c r="A5" s="2911" t="s">
        <v>2992</v>
      </c>
      <c r="B5" s="2907" t="s">
        <v>2993</v>
      </c>
      <c r="C5" s="2908"/>
      <c r="D5" s="2909"/>
      <c r="E5" s="2907" t="s">
        <v>2994</v>
      </c>
    </row>
    <row r="6" spans="1:5" ht="15.75">
      <c r="A6" s="2912" t="s">
        <v>2995</v>
      </c>
      <c r="B6" s="2908" t="e">
        <f ca="1">SUMIF(INDIRECT("'"&amp;A6&amp;"'"&amp;"!A:A"),"总价",INDIRECT("'"&amp;A6&amp;"'"&amp;"!B:B"))</f>
        <v>#DIV/0!</v>
      </c>
      <c r="C6" s="2907" t="s">
        <v>2989</v>
      </c>
      <c r="D6" s="2909"/>
      <c r="E6" s="2573">
        <f ca="1">SUMIF(INDIRECT("'"&amp;A6&amp;"'"&amp;"!C:C"),"建筑面积",INDIRECT("'"&amp;A6&amp;"'"&amp;"!D:D"))</f>
        <v>0</v>
      </c>
    </row>
    <row r="7" spans="1:5" ht="15.75">
      <c r="A7" s="2912"/>
      <c r="B7" s="2908" t="e">
        <f ca="1">SUMIF(INDIRECT("'"&amp;A7&amp;"'"&amp;"!A:A"),"总价",INDIRECT("'"&amp;A7&amp;"'"&amp;"!B:B"))</f>
        <v>#REF!</v>
      </c>
      <c r="C7" s="2907" t="s">
        <v>2989</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2989</v>
      </c>
      <c r="D8" s="2909"/>
      <c r="E8" s="2573" t="e">
        <f t="shared" ca="1" si="0"/>
        <v>#REF!</v>
      </c>
    </row>
    <row r="9" spans="1:5" ht="15.75">
      <c r="A9" s="2912"/>
      <c r="B9" s="2908" t="e">
        <f t="shared" ca="1" si="1"/>
        <v>#REF!</v>
      </c>
      <c r="C9" s="2907" t="s">
        <v>2989</v>
      </c>
      <c r="D9" s="2909"/>
      <c r="E9" s="2573" t="e">
        <f t="shared" ca="1" si="0"/>
        <v>#REF!</v>
      </c>
    </row>
    <row r="10" spans="1:5" ht="15.75">
      <c r="A10" s="2912"/>
      <c r="B10" s="2908" t="e">
        <f t="shared" ca="1" si="1"/>
        <v>#REF!</v>
      </c>
      <c r="C10" s="2907" t="s">
        <v>2989</v>
      </c>
      <c r="D10" s="2909"/>
      <c r="E10" s="2573" t="e">
        <f t="shared" ca="1" si="0"/>
        <v>#REF!</v>
      </c>
    </row>
    <row r="11" spans="1:5" ht="15.75">
      <c r="A11" s="2912"/>
      <c r="B11" s="2908" t="e">
        <f t="shared" ca="1" si="1"/>
        <v>#REF!</v>
      </c>
      <c r="C11" s="2907" t="s">
        <v>2989</v>
      </c>
      <c r="D11" s="2909"/>
      <c r="E11" s="2573" t="e">
        <f t="shared" ca="1" si="0"/>
        <v>#REF!</v>
      </c>
    </row>
    <row r="12" spans="1:5" ht="15.75">
      <c r="A12" s="2912"/>
      <c r="B12" s="2908" t="e">
        <f t="shared" ca="1" si="1"/>
        <v>#REF!</v>
      </c>
      <c r="C12" s="2907" t="s">
        <v>2989</v>
      </c>
      <c r="D12" s="2909"/>
      <c r="E12" s="2573" t="e">
        <f t="shared" ca="1" si="0"/>
        <v>#REF!</v>
      </c>
    </row>
    <row r="13" spans="1:5" ht="15.75">
      <c r="A13" s="2912"/>
      <c r="B13" s="2908" t="e">
        <f t="shared" ca="1" si="1"/>
        <v>#REF!</v>
      </c>
      <c r="C13" s="2907" t="s">
        <v>2989</v>
      </c>
      <c r="D13" s="290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1150</v>
      </c>
      <c r="C1" s="3304"/>
      <c r="D1" s="3304"/>
      <c r="E1" s="3304"/>
      <c r="F1" s="3304"/>
      <c r="G1" s="3300" t="s">
        <v>1151</v>
      </c>
      <c r="H1" s="3300"/>
      <c r="I1" s="3300"/>
      <c r="J1" s="3300"/>
      <c r="K1" s="3300"/>
      <c r="L1" s="3300"/>
      <c r="N1" s="3300" t="s">
        <v>1152</v>
      </c>
      <c r="O1" s="3300"/>
      <c r="P1" s="3300"/>
      <c r="Q1" s="3300"/>
      <c r="R1" s="1448"/>
      <c r="S1" s="3300" t="s">
        <v>1153</v>
      </c>
      <c r="T1" s="3300"/>
      <c r="U1" s="3300"/>
      <c r="V1" s="3300"/>
      <c r="X1" s="3299" t="s">
        <v>1154</v>
      </c>
      <c r="Y1" s="3300"/>
      <c r="Z1" s="3300"/>
      <c r="AA1" s="3300"/>
      <c r="AB1" s="3300"/>
      <c r="AD1" s="3299" t="s">
        <v>1155</v>
      </c>
      <c r="AE1" s="3300"/>
      <c r="AF1" s="3300"/>
      <c r="AG1" s="3300"/>
      <c r="AH1" s="330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3027</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1.4733000000000001</v>
      </c>
      <c r="Y3" s="2933">
        <f>ROUND(SUMPRODUCT(PRODUCT(1+O3:O$22)),4)</f>
        <v>1.3052999999999999</v>
      </c>
      <c r="Z3" s="2933">
        <f t="shared" ref="Z3:Z20" si="0">Y3</f>
        <v>1.3052999999999999</v>
      </c>
      <c r="AA3" s="2933">
        <f>ROUND(SUMPRODUCT(PRODUCT(1+P3:P$22)),4)</f>
        <v>1.5306999999999999</v>
      </c>
      <c r="AB3" s="2933">
        <f>ROUND(SUMPRODUCT(PRODUCT(1+Q3:Q$22)),4)</f>
        <v>1.2863</v>
      </c>
      <c r="AD3" s="2934">
        <f>ROUND(AVERAGE(I3:I$23)/100,4)</f>
        <v>2.24E-2</v>
      </c>
      <c r="AE3" s="2934">
        <f>ROUND(AVERAGE(J3:J$23)/100,4)</f>
        <v>1.54E-2</v>
      </c>
      <c r="AF3" s="2934">
        <f t="shared" ref="AF3:AF21" si="1">AE3</f>
        <v>1.54E-2</v>
      </c>
      <c r="AG3" s="2934">
        <f>ROUND(AVERAGE(K3:K$23)/100,4)</f>
        <v>2.47E-2</v>
      </c>
      <c r="AH3" s="2934">
        <f>ROUND(AVERAGE(L3:L$23)/100,4)</f>
        <v>1.41E-2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3034</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38">
        <v>2018</v>
      </c>
      <c r="H5" s="1732">
        <v>3</v>
      </c>
      <c r="I5" s="2921">
        <v>0</v>
      </c>
      <c r="J5" s="2921">
        <v>0</v>
      </c>
      <c r="K5" s="2921">
        <v>0</v>
      </c>
      <c r="L5" s="2921">
        <v>0</v>
      </c>
      <c r="N5" s="1469">
        <f>I5/100</f>
        <v>0</v>
      </c>
      <c r="O5" s="1469">
        <f t="shared" ref="O5" si="7">J5/100</f>
        <v>0</v>
      </c>
      <c r="P5" s="1469">
        <f t="shared" ref="P5" si="8">K5/100</f>
        <v>0</v>
      </c>
      <c r="Q5" s="1469">
        <f t="shared" ref="Q5" si="9">L5/100</f>
        <v>0</v>
      </c>
      <c r="R5" s="1734"/>
      <c r="S5" s="1735"/>
      <c r="T5" s="1734"/>
      <c r="U5" s="1734"/>
      <c r="V5" s="1734"/>
      <c r="W5" s="2925"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3035</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6"/>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8" customFormat="1" ht="13.5" thickBot="1">
      <c r="A7" s="1463" t="s">
        <v>3026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3023</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05">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2"/>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2"/>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3"/>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01">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2"/>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2"/>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3"/>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01">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2"/>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2"/>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3"/>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6">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7"/>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7"/>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8"/>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01">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2"/>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2"/>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3"/>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01">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2">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2">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3">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01">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2">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2">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3">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01">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2">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2">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3">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01">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2">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2">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3">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01">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2">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2">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3">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01">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2">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2">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3">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01">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2">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2">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3">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01">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2">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2">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3">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01">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2">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2">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3">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01">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2">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2">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3">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28675</v>
      </c>
      <c r="C2" s="2" t="s">
        <v>133</v>
      </c>
      <c r="D2" s="243"/>
      <c r="E2" s="243"/>
      <c r="F2" s="243"/>
      <c r="G2" s="243"/>
    </row>
    <row r="3" spans="1:7" s="244" customFormat="1" ht="18" customHeight="1" thickBot="1">
      <c r="A3" s="247" t="s">
        <v>85</v>
      </c>
      <c r="B3" s="248">
        <f ca="1">ROUND(B2*10000/'数据-汇总表'!E3,0)</f>
        <v>492325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582.44000000000005</v>
      </c>
      <c r="E9" s="269">
        <f>'数据-取费表'!B27</f>
        <v>0</v>
      </c>
      <c r="F9" s="265"/>
      <c r="G9" s="270"/>
    </row>
    <row r="10" spans="1:7" s="258" customFormat="1" ht="13.5" customHeight="1">
      <c r="A10" s="952" t="s">
        <v>801</v>
      </c>
      <c r="B10" s="268" t="s">
        <v>94</v>
      </c>
      <c r="C10" s="269">
        <f>ROUND(D10*E10/10000,0)</f>
        <v>0</v>
      </c>
      <c r="D10" s="1034">
        <f>'数据-汇总表'!E6</f>
        <v>0</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12</v>
      </c>
      <c r="D19" s="1038">
        <f>'数据-汇总表'!E3</f>
        <v>582.44000000000005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907</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4207</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4207</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233</v>
      </c>
      <c r="D34" s="261"/>
      <c r="E34" s="264"/>
      <c r="F34" s="301">
        <f>IF('数据-取费表'!B24=0,1,'数据-取费表'!N16)</f>
        <v>1</v>
      </c>
      <c r="G34" s="263" t="s">
        <v>116</v>
      </c>
    </row>
    <row r="35" spans="1:7" ht="13.5" customHeight="1">
      <c r="A35" s="953" t="s">
        <v>796</v>
      </c>
      <c r="B35" s="259" t="s">
        <v>60</v>
      </c>
      <c r="C35" s="264">
        <f>ROUND(C34*F35,0)</f>
        <v>12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12</v>
      </c>
      <c r="D37" s="261">
        <f>'数据-汇总表'!E3</f>
        <v>582.44000000000005</v>
      </c>
      <c r="E37" s="293">
        <f>'数据-取费表'!B35</f>
        <v>200</v>
      </c>
      <c r="F37" s="303"/>
      <c r="G37" s="305" t="s">
        <v>119</v>
      </c>
    </row>
    <row r="38" spans="1:7" ht="13.5" customHeight="1">
      <c r="A38" s="953" t="s">
        <v>799</v>
      </c>
      <c r="B38" s="259" t="s">
        <v>63</v>
      </c>
      <c r="C38" s="264">
        <f>ROUND(C34*F38,0)</f>
        <v>3</v>
      </c>
      <c r="D38" s="264"/>
      <c r="E38" s="264"/>
      <c r="F38" s="303">
        <f>'数据-取费表'!B36</f>
        <v>1.4999999999999999E-2</v>
      </c>
      <c r="G38" s="263" t="s">
        <v>117</v>
      </c>
    </row>
    <row r="39" spans="1:7" s="258" customFormat="1" ht="13.5" customHeight="1">
      <c r="A39" s="950" t="s">
        <v>783</v>
      </c>
      <c r="B39" s="254" t="s">
        <v>104</v>
      </c>
      <c r="C39" s="276">
        <f>ROUND(C33*F20,0)</f>
        <v>5</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6</v>
      </c>
      <c r="D42" s="282"/>
      <c r="E42" s="282"/>
      <c r="F42" s="283"/>
      <c r="G42" s="3169" t="s">
        <v>121</v>
      </c>
    </row>
    <row r="43" spans="1:7" ht="13.5" customHeight="1">
      <c r="A43" s="953" t="s">
        <v>792</v>
      </c>
      <c r="B43" s="259" t="s">
        <v>1064</v>
      </c>
      <c r="C43" s="282">
        <f ca="1">ROUND(IF('数据-取费表'!B22&lt;=1,C39*F22*'数据-取费表'!B21/2,C39*(POWER((1+F22),'数据-取费表'!B21/2)-1)),0)</f>
        <v>0</v>
      </c>
      <c r="D43" s="282"/>
      <c r="E43" s="282"/>
      <c r="F43" s="283"/>
      <c r="G43" s="3170"/>
    </row>
    <row r="44" spans="1:7" ht="13.5" customHeight="1">
      <c r="A44" s="953" t="s">
        <v>793</v>
      </c>
      <c r="B44" s="259" t="s">
        <v>1066</v>
      </c>
      <c r="C44" s="282">
        <f ca="1">ROUND(IF('数据-取费表'!B22&lt;=1,C40*F22*'数据-取费表'!B21/2,C40*(POWER((1+F22),'数据-取费表'!B21/2)-1)),4)</f>
        <v>4.0000000000000002E-4</v>
      </c>
      <c r="D44" s="282"/>
      <c r="E44" s="282"/>
      <c r="F44" s="283"/>
      <c r="G44" s="3171"/>
    </row>
    <row r="45" spans="1:7" s="258" customFormat="1" ht="13.5" customHeight="1">
      <c r="A45" s="950" t="s">
        <v>786</v>
      </c>
      <c r="B45" s="288" t="s">
        <v>112</v>
      </c>
      <c r="C45" s="289">
        <f>C46</f>
        <v>53</v>
      </c>
      <c r="D45" s="279">
        <f>C47</f>
        <v>4.0000000000000001E-3</v>
      </c>
      <c r="E45" s="280" t="s">
        <v>129</v>
      </c>
      <c r="F45" s="290"/>
      <c r="G45" s="291" t="s">
        <v>1072</v>
      </c>
    </row>
    <row r="46" spans="1:7" s="258" customFormat="1" ht="13.5" customHeight="1">
      <c r="A46" s="953" t="s">
        <v>794</v>
      </c>
      <c r="B46" s="292" t="s">
        <v>1065</v>
      </c>
      <c r="C46" s="293">
        <f>ROUND((C33+C39)*F27,0)</f>
        <v>53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351</v>
      </c>
      <c r="D49" s="276"/>
      <c r="E49" s="276"/>
      <c r="F49" s="308"/>
      <c r="G49" s="278" t="s">
        <v>1073</v>
      </c>
    </row>
    <row r="50" spans="1:7" s="302" customFormat="1" ht="24">
      <c r="A50" s="950" t="s">
        <v>789</v>
      </c>
      <c r="B50" s="254" t="s">
        <v>124</v>
      </c>
      <c r="C50" s="276"/>
      <c r="D50" s="276"/>
      <c r="E50" s="276"/>
      <c r="F50" s="308">
        <f>IF('数据-取费表'!B24=0,'数据-取费表'!N16,1)</f>
        <v>0.92</v>
      </c>
      <c r="G50" s="291" t="s">
        <v>125</v>
      </c>
    </row>
    <row r="51" spans="1:7" ht="16.5" customHeight="1">
      <c r="A51" s="950" t="s">
        <v>790</v>
      </c>
      <c r="B51" s="254" t="s">
        <v>132</v>
      </c>
      <c r="C51" s="276">
        <f ca="1">ROUND(C49*F50,0)</f>
        <v>323</v>
      </c>
      <c r="D51" s="276"/>
      <c r="E51" s="276"/>
      <c r="F51" s="308"/>
      <c r="G51" s="278" t="s">
        <v>64</v>
      </c>
    </row>
    <row r="52" spans="1:7" s="252" customFormat="1" ht="16.5" thickBot="1">
      <c r="A52" s="309" t="s">
        <v>65</v>
      </c>
      <c r="B52" s="310"/>
      <c r="C52" s="311">
        <f ca="1">C31+C51</f>
        <v>28675</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871</v>
      </c>
      <c r="B1" s="330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6" t="s">
        <v>1638</v>
      </c>
      <c r="E3" s="1046" t="s">
        <v>1644</v>
      </c>
      <c r="F3" s="1046" t="s">
        <v>1638</v>
      </c>
      <c r="G3" s="1046" t="s">
        <v>1639</v>
      </c>
      <c r="H3" s="1046" t="s">
        <v>1638</v>
      </c>
      <c r="I3" s="1046" t="s">
        <v>1639</v>
      </c>
    </row>
    <row r="4" spans="1:9" ht="45">
      <c r="A4" s="1974" t="str">
        <f>项目基本情况!S2</f>
        <v>广东省广州市从化区温泉镇明月山溪大道明月里二街1号房地产</v>
      </c>
      <c r="B4" s="1046">
        <f>项目基本情况!C17</f>
        <v>582.44000000000005</v>
      </c>
      <c r="C4" s="1046">
        <f>项目基本情况!C18</f>
        <v>577.58000000000004</v>
      </c>
      <c r="D4" s="1046" t="e">
        <f ca="1">结果表!D118</f>
        <v>#REF!</v>
      </c>
      <c r="E4" s="1046" t="e">
        <f ca="1">结果表!E118</f>
        <v>#REF!</v>
      </c>
      <c r="F4" s="1046" t="e">
        <f ca="1">结果表!F118</f>
        <v>#REF!</v>
      </c>
      <c r="G4" s="1046" t="e">
        <f ca="1">结果表!G118</f>
        <v>#REF!</v>
      </c>
      <c r="H4" s="1046">
        <f ca="1">结果表!H118</f>
        <v>992</v>
      </c>
      <c r="I4" s="1046">
        <f ca="1">结果表!I118</f>
        <v>17032</v>
      </c>
    </row>
    <row r="5" spans="1:9" ht="30" customHeight="1">
      <c r="A5" s="2996" t="s">
        <v>1640</v>
      </c>
      <c r="B5" s="2996"/>
      <c r="C5" s="2996"/>
      <c r="D5" s="2997" t="e">
        <f ca="1">结果表!D119</f>
        <v>#REF!</v>
      </c>
      <c r="E5" s="2997"/>
      <c r="F5" s="2997" t="e">
        <f ca="1">结果表!F119</f>
        <v>#REF!</v>
      </c>
      <c r="G5" s="2997"/>
      <c r="H5" s="2997" t="str">
        <f ca="1">结果表!H119</f>
        <v>玖佰玖拾贰万元整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房地产抵押价值</v>
      </c>
      <c r="B8" s="2998"/>
      <c r="C8" s="2998"/>
      <c r="D8" s="2998">
        <f ca="1">结果表!D122</f>
        <v>992</v>
      </c>
      <c r="E8" s="2998"/>
      <c r="F8" s="2998"/>
      <c r="G8" s="2998"/>
      <c r="H8" s="2998"/>
      <c r="I8" s="2998"/>
    </row>
    <row r="9" spans="1:9" ht="15">
      <c r="A9" s="2996" t="s">
        <v>1640</v>
      </c>
      <c r="B9" s="2996"/>
      <c r="C9" s="2996"/>
      <c r="D9" s="2997" t="str">
        <f ca="1">结果表!D123</f>
        <v>玖佰玖拾贰万元整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5" t="s">
        <v>1662</v>
      </c>
      <c r="B1" s="3005"/>
      <c r="C1" s="3005"/>
      <c r="D1" s="3005"/>
    </row>
    <row r="2" spans="1:4" ht="18">
      <c r="A2" s="3006" t="s">
        <v>1646</v>
      </c>
      <c r="B2" s="3006"/>
      <c r="C2" s="3006"/>
      <c r="D2" s="3006"/>
    </row>
    <row r="3" spans="1:4" ht="18.75">
      <c r="A3" s="1978" t="s">
        <v>1647</v>
      </c>
      <c r="B3" s="1978" t="s">
        <v>1648</v>
      </c>
      <c r="C3" s="1978" t="s">
        <v>1649</v>
      </c>
      <c r="D3" s="1978" t="s">
        <v>1650</v>
      </c>
    </row>
    <row r="4" spans="1:4" ht="56.25" customHeight="1">
      <c r="A4" s="1979" t="str">
        <f>项目基本情况!B4</f>
        <v>吴薇</v>
      </c>
      <c r="B4" s="1980">
        <f ca="1">项目基本情况!C4</f>
        <v>1419970001</v>
      </c>
      <c r="C4" s="1981"/>
      <c r="D4" s="1982" t="s">
        <v>1651</v>
      </c>
    </row>
    <row r="5" spans="1:4" ht="56.25" customHeight="1">
      <c r="A5" s="1979" t="str">
        <f>项目基本情况!D4</f>
        <v>郑燚</v>
      </c>
      <c r="B5" s="1980">
        <f ca="1">项目基本情况!E4</f>
        <v>1120070131</v>
      </c>
      <c r="C5" s="1983"/>
      <c r="D5" s="1982" t="s">
        <v>1651</v>
      </c>
    </row>
    <row r="6" spans="1:4" ht="18">
      <c r="A6" s="3006" t="s">
        <v>1652</v>
      </c>
      <c r="B6" s="3006"/>
      <c r="C6" s="3006"/>
      <c r="D6" s="3006"/>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19" t="s">
        <v>1669</v>
      </c>
      <c r="B15" s="3014" t="s">
        <v>136</v>
      </c>
      <c r="C15" s="3015"/>
    </row>
    <row r="16" spans="1:7" ht="13.5">
      <c r="A16" s="3020"/>
      <c r="B16" s="3014" t="s">
        <v>69</v>
      </c>
      <c r="C16" s="3015"/>
    </row>
    <row r="17" spans="1:3" ht="13.5">
      <c r="A17" s="3020"/>
      <c r="B17" s="3017" t="s">
        <v>1670</v>
      </c>
      <c r="C17" s="2001" t="s">
        <v>1669</v>
      </c>
    </row>
    <row r="18" spans="1:3" ht="13.5">
      <c r="A18" s="3020"/>
      <c r="B18" s="3017"/>
      <c r="C18" s="2001" t="s">
        <v>1671</v>
      </c>
    </row>
    <row r="19" spans="1:3" ht="13.5">
      <c r="A19" s="3020"/>
      <c r="B19" s="3017"/>
      <c r="C19" s="2001" t="s">
        <v>1672</v>
      </c>
    </row>
    <row r="20" spans="1:3" ht="13.5">
      <c r="A20" s="3021"/>
      <c r="B20" s="3016" t="s">
        <v>1673</v>
      </c>
      <c r="C20" s="3015"/>
    </row>
    <row r="21" spans="1:3" ht="13.5">
      <c r="A21" s="2002" t="s">
        <v>1674</v>
      </c>
      <c r="B21" s="2003"/>
      <c r="C21" s="2004"/>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1" t="s">
        <v>1680</v>
      </c>
    </row>
    <row r="26" spans="1:3" ht="13.5">
      <c r="A26" s="3018"/>
      <c r="B26" s="3017"/>
      <c r="C26" s="2001" t="s">
        <v>1681</v>
      </c>
    </row>
    <row r="27" spans="1:3" ht="13.5">
      <c r="A27" s="3018"/>
      <c r="B27" s="3017"/>
      <c r="C27" s="2001" t="s">
        <v>1682</v>
      </c>
    </row>
    <row r="28" spans="1:3" ht="13.5">
      <c r="A28" s="3018"/>
      <c r="B28" s="3017"/>
      <c r="C28" s="2001" t="s">
        <v>1683</v>
      </c>
    </row>
    <row r="29" spans="1:3" ht="13.5">
      <c r="A29" s="3018"/>
      <c r="B29" s="3017"/>
      <c r="C29" s="2001" t="s">
        <v>1684</v>
      </c>
    </row>
    <row r="30" spans="1:3" ht="13.5">
      <c r="A30" s="3018"/>
      <c r="B30" s="3017"/>
      <c r="C30" s="2001" t="s">
        <v>1685</v>
      </c>
    </row>
    <row r="31" spans="1:3" ht="13.5">
      <c r="A31" s="3018"/>
      <c r="B31" s="3017"/>
      <c r="C31" s="2001" t="s">
        <v>1686</v>
      </c>
    </row>
    <row r="32" spans="1:3" ht="13.5">
      <c r="A32" s="3018"/>
      <c r="B32" s="3017"/>
      <c r="C32" s="2001" t="s">
        <v>1687</v>
      </c>
    </row>
    <row r="33" spans="1:3" ht="13.5">
      <c r="A33" s="3018"/>
      <c r="B33" s="301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43319</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3033</v>
      </c>
      <c r="B12" s="1024">
        <v>1120110054</v>
      </c>
      <c r="C12" s="2937">
        <v>43937</v>
      </c>
      <c r="D12" s="1704" t="s">
        <v>3033</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7">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收益法（汇总）</vt:lpstr>
      <vt:lpstr>酒店收入计算</vt:lpstr>
      <vt:lpstr>比较法-住宅</vt:lpstr>
      <vt:lpstr>收益法 (元)</vt:lpstr>
      <vt:lpstr>收益法</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2018-08-07T09:16:33Z</dcterms:modified>
</cp:coreProperties>
</file>