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9"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收益还原法" sheetId="44" r:id="rId28"/>
    <sheet name="不动产收益法" sheetId="15" r:id="rId29"/>
    <sheet name="酒店收入计算" sheetId="57" r:id="rId30"/>
    <sheet name="成本逼近法" sheetId="11" r:id="rId31"/>
    <sheet name="不动产比较法-住宅" sheetId="21" r:id="rId32"/>
    <sheet name="不动产比较法-商业" sheetId="33" r:id="rId33"/>
    <sheet name="不动产比较法-办公" sheetId="34" r:id="rId34"/>
    <sheet name="不动产比较法-工业" sheetId="37" r:id="rId35"/>
    <sheet name="不动产比较法-车位" sheetId="35" r:id="rId36"/>
    <sheet name="不动产比较法-仓储" sheetId="36" r:id="rId37"/>
    <sheet name="典型户型修正" sheetId="31"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0" i="39" l="1"/>
  <c r="I9" i="39"/>
  <c r="G10" i="39"/>
  <c r="E10" i="39"/>
  <c r="G9" i="39"/>
  <c r="E9" i="39"/>
  <c r="N3" i="67"/>
  <c r="N4" i="67"/>
  <c r="N5" i="67"/>
  <c r="N6" i="67"/>
  <c r="N7" i="67"/>
  <c r="N8" i="67"/>
  <c r="N9" i="67"/>
  <c r="N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2" i="67"/>
  <c r="C10" i="12" l="1"/>
  <c r="F19" i="6"/>
  <c r="AD13" i="3"/>
  <c r="I13" i="3"/>
  <c r="D3" i="4"/>
  <c r="C95" i="9" l="1"/>
  <c r="C92" i="9" s="1"/>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7" i="65"/>
  <c r="I4" i="65"/>
  <c r="I5" i="65"/>
  <c r="N3" i="65"/>
  <c r="N4" i="65"/>
  <c r="I3" i="65"/>
  <c r="J4" i="65"/>
  <c r="J5" i="65"/>
  <c r="I6" i="65"/>
  <c r="N6" i="65"/>
  <c r="J6" i="65"/>
  <c r="J3" i="65"/>
  <c r="I7" i="65"/>
  <c r="N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AB25" i="39"/>
  <c r="U37" i="34"/>
  <c r="AB37" i="34"/>
  <c r="AC41" i="40"/>
  <c r="W41" i="40"/>
  <c r="U41" i="40"/>
  <c r="J23" i="40"/>
  <c r="AC23" i="40" s="1"/>
  <c r="G92" i="40"/>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30" i="51" l="1"/>
  <c r="U13" i="39"/>
  <c r="U40" i="39"/>
  <c r="F32" i="15"/>
  <c r="F59" i="15" s="1"/>
  <c r="F29" i="12"/>
  <c r="C29" i="12" s="1"/>
  <c r="F70" i="9"/>
  <c r="D86" i="9"/>
  <c r="M20" i="44"/>
  <c r="F31" i="43"/>
  <c r="F30" i="44"/>
  <c r="AZ19" i="3"/>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10" i="15"/>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18" i="44"/>
  <c r="J17" i="44"/>
  <c r="M11" i="44"/>
  <c r="M31" i="44"/>
  <c r="F8" i="15"/>
  <c r="F9" i="44"/>
  <c r="F43" i="44"/>
  <c r="F9" i="15"/>
  <c r="F8" i="44"/>
  <c r="M30" i="44"/>
  <c r="M26" i="15"/>
  <c r="F38" i="44"/>
  <c r="F36" i="15"/>
  <c r="F45" i="44"/>
  <c r="F40" i="44"/>
  <c r="M22" i="15"/>
  <c r="M28" i="44"/>
  <c r="F43" i="15"/>
  <c r="F13" i="15"/>
  <c r="M24" i="15"/>
  <c r="L48" i="15"/>
  <c r="M28" i="15"/>
  <c r="M8" i="15"/>
  <c r="M6" i="15"/>
  <c r="L47" i="15"/>
  <c r="F6" i="15"/>
  <c r="F40" i="15"/>
  <c r="J36" i="15"/>
  <c r="M8" i="44"/>
  <c r="M27" i="15"/>
  <c r="M29" i="44"/>
  <c r="F16" i="15"/>
  <c r="F42" i="15"/>
  <c r="F38" i="15"/>
  <c r="F26" i="15"/>
  <c r="J15" i="15"/>
  <c r="M26" i="44"/>
  <c r="F37" i="15"/>
  <c r="M29" i="15"/>
  <c r="F28" i="44"/>
  <c r="F7" i="15"/>
  <c r="M23" i="15"/>
  <c r="F11" i="44"/>
  <c r="C35" i="44"/>
  <c r="F15" i="44"/>
  <c r="F10" i="44"/>
  <c r="M25" i="44"/>
  <c r="M9" i="15"/>
  <c r="M24" i="44"/>
  <c r="M10" i="44"/>
  <c r="F39" i="44"/>
  <c r="E86" i="3" l="1"/>
  <c r="E297" i="3"/>
  <c r="AO6" i="3"/>
  <c r="E561" i="3"/>
  <c r="E476" i="3"/>
  <c r="AJ11" i="46"/>
  <c r="AJ13" i="46" s="1"/>
  <c r="AF11" i="46"/>
  <c r="AF13" i="46" s="1"/>
  <c r="AB11" i="46"/>
  <c r="AB13" i="46" s="1"/>
  <c r="AI11" i="46"/>
  <c r="AI13" i="46" s="1"/>
  <c r="AE11" i="46"/>
  <c r="AE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J103" i="46" s="1"/>
  <c r="G101" i="46"/>
  <c r="G103"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4" i="46"/>
  <c r="C105" i="46"/>
  <c r="C107" i="46"/>
  <c r="C109" i="46"/>
  <c r="F102" i="46"/>
  <c r="F106" i="46"/>
  <c r="F104" i="46"/>
  <c r="F107" i="46"/>
  <c r="F105" i="46"/>
  <c r="F103" i="46"/>
  <c r="N102" i="46"/>
  <c r="N106" i="46"/>
  <c r="N105" i="46"/>
  <c r="N107" i="46"/>
  <c r="N103"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G66" i="36"/>
  <c r="J18" i="36"/>
  <c r="AE8" i="1"/>
  <c r="AE6" i="1"/>
  <c r="F58" i="15"/>
  <c r="F31" i="15"/>
  <c r="F33" i="44"/>
  <c r="C16" i="15"/>
  <c r="F41" i="15"/>
  <c r="M19" i="44"/>
  <c r="C15" i="12"/>
  <c r="F46" i="44"/>
  <c r="C18" i="44"/>
  <c r="M17" i="15"/>
  <c r="G109" i="46" l="1"/>
  <c r="G106" i="46"/>
  <c r="G118" i="46"/>
  <c r="H118" i="46" s="1"/>
  <c r="G104" i="46"/>
  <c r="D116" i="46"/>
  <c r="E116" i="46" s="1"/>
  <c r="F116" i="46" s="1"/>
  <c r="G116" i="46" s="1"/>
  <c r="H116" i="46" s="1"/>
  <c r="B118" i="46"/>
  <c r="C118" i="46" s="1"/>
  <c r="G105" i="46"/>
  <c r="B116" i="46"/>
  <c r="C116" i="46" s="1"/>
  <c r="D117" i="46"/>
  <c r="E117" i="46" s="1"/>
  <c r="F117" i="46" s="1"/>
  <c r="G117" i="46" s="1"/>
  <c r="H117" i="46" s="1"/>
  <c r="D118" i="46"/>
  <c r="E118" i="46" s="1"/>
  <c r="F118" i="46" s="1"/>
  <c r="J109" i="46"/>
  <c r="C102" i="46"/>
  <c r="S5" i="46" s="1"/>
  <c r="T5" i="46" s="1"/>
  <c r="V5" i="46" s="1"/>
  <c r="C103" i="46"/>
  <c r="J105" i="46"/>
  <c r="J107"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S4" i="46"/>
  <c r="T4" i="46" s="1"/>
  <c r="V4" i="46" s="1"/>
  <c r="S7" i="46"/>
  <c r="T7" i="46" s="1"/>
  <c r="V7" i="46" s="1"/>
  <c r="S6" i="46"/>
  <c r="T6" i="46" s="1"/>
  <c r="V6" i="46" s="1"/>
  <c r="L106" i="46"/>
  <c r="L109" i="46"/>
  <c r="L104" i="46"/>
  <c r="L103" i="46"/>
  <c r="L102" i="46"/>
  <c r="L107" i="46"/>
  <c r="L105" i="46"/>
  <c r="E104" i="46"/>
  <c r="E107" i="46"/>
  <c r="E105" i="46"/>
  <c r="E102" i="46"/>
  <c r="E109" i="46"/>
  <c r="E103" i="46"/>
  <c r="E106" i="46"/>
  <c r="D22" i="46"/>
  <c r="S3" i="46"/>
  <c r="T3" i="46" s="1"/>
  <c r="V3" i="46" s="1"/>
  <c r="S2" i="46"/>
  <c r="T2" i="46" s="1"/>
  <c r="V2" i="46"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s="1"/>
  <c r="J22" i="46" s="1"/>
  <c r="H12" i="40"/>
  <c r="U12" i="40" s="1"/>
  <c r="AG6" i="1"/>
  <c r="H12" i="39"/>
  <c r="U12" i="39" s="1"/>
  <c r="F12" i="39"/>
  <c r="AA12" i="39" s="1"/>
  <c r="F31" i="6"/>
  <c r="F12" i="40"/>
  <c r="AA12" i="40" s="1"/>
  <c r="J12" i="39"/>
  <c r="AC12" i="39" s="1"/>
  <c r="AC6" i="3"/>
  <c r="E6" i="3" s="1"/>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C20" i="11"/>
  <c r="C21" i="11" s="1"/>
  <c r="C22" i="11" s="1"/>
  <c r="C23" i="11" s="1"/>
  <c r="B2" i="11" s="1"/>
  <c r="AC12" i="40"/>
  <c r="W12" i="40"/>
  <c r="E46" i="37"/>
  <c r="F46" i="37" s="1"/>
  <c r="C48" i="33"/>
  <c r="C49" i="33"/>
  <c r="B3" i="33" s="1"/>
  <c r="B2" i="33" s="1"/>
  <c r="F33" i="12"/>
  <c r="D21" i="12"/>
  <c r="AB12" i="40" l="1"/>
  <c r="W12" i="39"/>
  <c r="AB12" i="39"/>
  <c r="C34" i="12"/>
  <c r="D33" i="12" s="1"/>
  <c r="C21" i="12"/>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B3" i="46" l="1"/>
  <c r="G46" i="37"/>
  <c r="H46" i="37" s="1"/>
  <c r="E47" i="37"/>
  <c r="F47" i="37" s="1"/>
  <c r="G47" i="37"/>
  <c r="H47" i="37" s="1"/>
  <c r="E43" i="35"/>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C14" i="66" l="1"/>
  <c r="B2" i="66" s="1"/>
  <c r="E63" i="40"/>
  <c r="E68" i="39"/>
  <c r="T10" i="1"/>
  <c r="T9" i="1"/>
  <c r="T6" i="1"/>
  <c r="T11" i="1"/>
  <c r="T8" i="1"/>
  <c r="T12" i="1"/>
  <c r="O16" i="1"/>
  <c r="P14" i="1"/>
  <c r="P16" i="1" s="1"/>
  <c r="C13" i="43"/>
  <c r="L16" i="1"/>
  <c r="N16" i="1"/>
  <c r="C29" i="43"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D22" i="12"/>
  <c r="C13" i="12"/>
  <c r="C14" i="15"/>
  <c r="C16" i="44"/>
  <c r="C22" i="12" l="1"/>
  <c r="C20" i="12" s="1"/>
  <c r="C15" i="15"/>
  <c r="C18" i="15"/>
  <c r="C17" i="44"/>
  <c r="C20"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28" i="44" l="1"/>
  <c r="C31" i="44" s="1"/>
  <c r="J21" i="44" s="1"/>
  <c r="J19" i="44" s="1"/>
  <c r="I5" i="6"/>
  <c r="C26" i="15"/>
  <c r="C29" i="15" s="1"/>
  <c r="J59" i="15" s="1"/>
  <c r="J60" i="15" s="1"/>
  <c r="Q49" i="15" s="1"/>
  <c r="C23" i="12"/>
  <c r="C35" i="12" s="1"/>
  <c r="C33" i="12" s="1"/>
  <c r="C19" i="43"/>
  <c r="C22" i="43" s="1"/>
  <c r="C21" i="43" s="1"/>
  <c r="K67" i="40"/>
  <c r="L65" i="40"/>
  <c r="K72" i="39"/>
  <c r="L70" i="39"/>
  <c r="C15" i="44" l="1"/>
  <c r="C39" i="44" s="1"/>
  <c r="C38" i="44"/>
  <c r="J16" i="44"/>
  <c r="J15" i="44" s="1"/>
  <c r="J25" i="44" s="1"/>
  <c r="J19" i="15"/>
  <c r="J17" i="15" s="1"/>
  <c r="C33" i="15"/>
  <c r="C31" i="15" s="1"/>
  <c r="J14" i="15"/>
  <c r="J22" i="15" s="1"/>
  <c r="C56" i="15"/>
  <c r="C63" i="15" s="1"/>
  <c r="Q50" i="15"/>
  <c r="C13" i="15"/>
  <c r="J35" i="15" s="1"/>
  <c r="C36" i="15"/>
  <c r="C28" i="12"/>
  <c r="C26" i="12" s="1"/>
  <c r="C25" i="43"/>
  <c r="C24" i="43" s="1"/>
  <c r="C28" i="43" s="1"/>
  <c r="C30" i="43" s="1"/>
  <c r="J24" i="44"/>
  <c r="L72" i="39"/>
  <c r="M70" i="39"/>
  <c r="M65" i="40"/>
  <c r="L67" i="40"/>
  <c r="C32" i="44" l="1"/>
  <c r="C42" i="44" s="1"/>
  <c r="C43" i="44"/>
  <c r="C55" i="15"/>
  <c r="C64" i="15" s="1"/>
  <c r="C60" i="15"/>
  <c r="C58" i="15" s="1"/>
  <c r="C37" i="15"/>
  <c r="C30" i="15" s="1"/>
  <c r="C39" i="15" s="1"/>
  <c r="C40" i="15" s="1"/>
  <c r="J13" i="15"/>
  <c r="J23" i="15" s="1"/>
  <c r="J16" i="15" s="1"/>
  <c r="J25" i="15" s="1"/>
  <c r="J26" i="15" s="1"/>
  <c r="J29" i="15" s="1"/>
  <c r="Q71" i="15"/>
  <c r="C31" i="12"/>
  <c r="C30" i="12" s="1"/>
  <c r="C36" i="12" s="1"/>
  <c r="B2" i="12" s="1"/>
  <c r="C32" i="43"/>
  <c r="B2" i="43" s="1"/>
  <c r="J18" i="44"/>
  <c r="J27" i="44" s="1"/>
  <c r="J28" i="44" s="1"/>
  <c r="J31" i="44" s="1"/>
  <c r="N70" i="39"/>
  <c r="N72" i="39" s="1"/>
  <c r="M72" i="39"/>
  <c r="N65" i="40"/>
  <c r="N67" i="40" s="1"/>
  <c r="M67" i="40"/>
  <c r="D19" i="9"/>
  <c r="C44" i="44" l="1"/>
  <c r="C45" i="44" s="1"/>
  <c r="B2" i="44" s="1"/>
  <c r="B4" i="44" s="1"/>
  <c r="C57" i="15"/>
  <c r="C66" i="15" s="1"/>
  <c r="C67" i="15" s="1"/>
  <c r="C70" i="15" s="1"/>
  <c r="Q70" i="15"/>
  <c r="Q69" i="15" s="1"/>
  <c r="J39" i="15"/>
  <c r="J40" i="15" s="1"/>
  <c r="L44" i="9"/>
  <c r="B3" i="43"/>
  <c r="B5" i="43"/>
  <c r="B4" i="43"/>
  <c r="L46" i="15"/>
  <c r="B2" i="15" s="1"/>
  <c r="B3" i="15" s="1"/>
  <c r="Q57" i="15"/>
  <c r="C43" i="15"/>
  <c r="Q66" i="15"/>
  <c r="Q48" i="15"/>
  <c r="Q54" i="15" s="1"/>
  <c r="J42" i="15"/>
  <c r="J43" i="15" s="1"/>
  <c r="J9" i="40"/>
  <c r="F9" i="40"/>
  <c r="H9" i="40"/>
  <c r="J9" i="39"/>
  <c r="H9" i="39"/>
  <c r="F9" i="39"/>
  <c r="B4" i="12"/>
  <c r="L51" i="15"/>
  <c r="B5" i="12"/>
  <c r="B3" i="12"/>
  <c r="D20" i="9" s="1"/>
  <c r="D21" i="9"/>
  <c r="C46" i="15" l="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58" i="15" l="1"/>
  <c r="Q63" i="15" s="1"/>
  <c r="I48" i="40"/>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<sst xmlns="http://schemas.openxmlformats.org/spreadsheetml/2006/main" count="7016" uniqueCount="3103">
  <si>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</si>
  <si>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</si>
  <si>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</si>
  <si>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</si>
  <si>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</si>
  <si>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</si>
  <si>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</si>
  <si>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</si>
  <si>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</si>
  <si>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</si>
  <si>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</si>
  <si>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</si>
  <si>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</si>
  <si>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</si>
  <si>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</si>
  <si>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</si>
  <si>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</si>
  <si>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</si>
  <si>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</si>
  <si>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</si>
  <si>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</si>
  <si>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</si>
  <si>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</si>
  <si>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</si>
  <si>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</si>
  <si>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</si>
  <si>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</si>
  <si>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</si>
  <si>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</si>
  <si>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</si>
  <si>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</si>
  <si>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</si>
  <si>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</si>
  <si>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</si>
  <si>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</si>
  <si>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</si>
  <si>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</si>
  <si>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</si>
  <si>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</si>
  <si>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</si>
  <si>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</si>
  <si>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</si>
  <si>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</si>
  <si>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</si>
  <si>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</si>
  <si>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</si>
  <si>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</si>
  <si>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</si>
  <si>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</si>
  <si>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</si>
  <si>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</si>
  <si>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</si>
  <si>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</si>
  <si>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</si>
  <si>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</si>
  <si>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</si>
  <si>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</si>
  <si>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</si>
  <si>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</si>
  <si>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</si>
  <si>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</si>
  <si>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</si>
  <si>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</si>
  <si>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</si>
  <si>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</si>
  <si>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</si>
  <si>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</si>
  <si>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</si>
  <si>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</si>
  <si>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</si>
  <si>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</si>
  <si>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</si>
  <si>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</si>
  <si>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</si>
  <si>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</si>
  <si>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</si>
  <si>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</si>
  <si>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</si>
  <si>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</si>
  <si>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</si>
  <si>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</si>
  <si>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</si>
  <si>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</si>
  <si>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</si>
  <si>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</si>
  <si>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</si>
  <si>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</si>
  <si>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</si>
  <si>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</si>
  <si>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</si>
  <si>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</si>
  <si>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</si>
  <si>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</si>
  <si>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</si>
  <si>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</si>
  <si>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</si>
  <si>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</si>
  <si>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</si>
  <si>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</si>
  <si>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</si>
  <si>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</si>
  <si>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</si>
  <si>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</si>
  <si>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</si>
  <si>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</si>
  <si>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</si>
  <si>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</si>
  <si>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</si>
  <si>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</si>
  <si>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</si>
  <si>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</si>
  <si>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</si>
  <si>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</si>
  <si>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</si>
  <si>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</si>
  <si>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</si>
  <si>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</si>
  <si>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</si>
  <si>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</si>
  <si>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</si>
  <si>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</si>
  <si>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</si>
  <si>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</si>
  <si>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</si>
  <si>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</si>
  <si>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</si>
  <si>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</si>
  <si>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</si>
  <si>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</si>
  <si>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</si>
  <si>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</si>
  <si>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</si>
  <si>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</si>
  <si>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</si>
  <si>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</si>
  <si>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</si>
  <si>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</si>
  <si>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</si>
  <si>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</si>
  <si>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</si>
  <si>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</si>
  <si>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</si>
  <si>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</si>
  <si>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</si>
  <si>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</si>
  <si>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</si>
  <si>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</si>
  <si>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</si>
  <si>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</si>
  <si>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</si>
  <si>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</si>
  <si>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</si>
  <si>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</si>
  <si>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</si>
  <si>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</si>
  <si>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</si>
  <si>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</si>
  <si>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</si>
  <si>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</si>
  <si>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</si>
  <si>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</si>
  <si>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</si>
  <si>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</si>
  <si>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</si>
  <si>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</si>
  <si>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</si>
  <si>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</si>
  <si>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</si>
  <si>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</si>
  <si>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</si>
  <si>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</si>
  <si>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</si>
  <si>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</si>
  <si>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</si>
  <si>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</si>
  <si>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</si>
  <si>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</si>
  <si>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</si>
  <si>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</si>
  <si>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</si>
  <si>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</si>
  <si>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</si>
  <si>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</si>
  <si>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</si>
  <si>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</si>
  <si>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</si>
  <si>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</si>
  <si>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</si>
  <si>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</si>
  <si>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</si>
  <si>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</si>
  <si>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</si>
  <si>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</si>
  <si>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</si>
  <si>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</si>
  <si>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</si>
  <si>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</si>
  <si>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</si>
  <si>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</si>
  <si>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</si>
  <si>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</si>
  <si>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</si>
  <si>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</si>
  <si>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</si>
  <si>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</si>
  <si>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</si>
  <si>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</si>
  <si>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</si>
  <si>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</si>
  <si>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</si>
  <si>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</si>
  <si>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</si>
  <si>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</si>
  <si>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</si>
  <si>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</si>
  <si>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</si>
  <si>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</si>
  <si>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</si>
  <si>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</si>
  <si>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</si>
  <si>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</si>
  <si>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</si>
  <si>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</si>
  <si>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</si>
  <si>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</si>
  <si>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</si>
  <si>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</si>
  <si>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</si>
  <si>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</si>
  <si>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</si>
  <si>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</si>
  <si>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</si>
  <si>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</si>
  <si>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</si>
  <si>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</si>
  <si>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</si>
  <si>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</si>
  <si>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</si>
  <si>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</si>
  <si>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</si>
  <si>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</si>
  <si>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</si>
  <si>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</si>
  <si>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</si>
  <si>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</si>
  <si>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</si>
  <si>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</si>
  <si>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</si>
  <si>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</si>
  <si>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</si>
  <si>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</si>
  <si>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</si>
  <si>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</si>
  <si>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</si>
  <si>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</si>
  <si>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</si>
  <si>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</si>
  <si>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</si>
  <si>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</si>
  <si>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</si>
  <si>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</si>
  <si>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</si>
  <si>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</si>
  <si>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</si>
  <si>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</si>
  <si>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</si>
  <si>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</si>
  <si>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</si>
  <si>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</si>
  <si>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</si>
  <si>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</si>
  <si>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</si>
  <si>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</si>
  <si>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</si>
  <si>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</si>
  <si>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</si>
  <si>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</si>
  <si>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</si>
  <si>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</si>
  <si>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</si>
  <si>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</si>
  <si>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</si>
  <si>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</si>
  <si>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</si>
  <si>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</si>
  <si>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</si>
  <si>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</si>
  <si>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</si>
  <si>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</si>
  <si>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</si>
  <si>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</si>
  <si>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</si>
  <si>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</si>
  <si>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</si>
  <si>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</si>
  <si>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</si>
  <si>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</si>
  <si>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</si>
  <si>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</si>
  <si>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</si>
  <si>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</si>
  <si>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</si>
  <si>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</si>
  <si>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</si>
  <si>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</si>
  <si>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</si>
  <si>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</si>
  <si>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</si>
  <si>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</si>
  <si>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</si>
  <si>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</si>
  <si>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</si>
  <si>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</si>
  <si>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</si>
  <si>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</si>
  <si>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</si>
  <si>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</si>
  <si>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</si>
  <si>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</si>
  <si>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</si>
  <si>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</si>
  <si>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</si>
  <si>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</si>
  <si>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</si>
  <si>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</si>
  <si>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</si>
  <si>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</si>
  <si>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</si>
  <si>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</si>
  <si>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</si>
  <si>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</si>
  <si>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</si>
  <si>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</si>
  <si>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</si>
  <si>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</si>
  <si>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</si>
  <si>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</si>
  <si>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</si>
  <si>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</si>
  <si>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</si>
  <si>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</si>
  <si>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</si>
  <si>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</si>
  <si>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</si>
  <si>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</si>
  <si>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</si>
  <si>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</si>
  <si>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</si>
  <si>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</si>
  <si>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</si>
  <si>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</si>
  <si>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</si>
  <si>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</si>
  <si>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</si>
  <si>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</si>
  <si>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</si>
  <si>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</si>
  <si>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</si>
  <si>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</si>
  <si>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</si>
  <si>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</si>
  <si>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</si>
  <si>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</si>
  <si>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</si>
  <si>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</si>
  <si>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</si>
  <si>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</si>
  <si>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</si>
  <si>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</si>
  <si>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</si>
  <si>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</si>
  <si>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</si>
  <si>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</si>
  <si>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</si>
  <si>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</si>
  <si>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</si>
  <si>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</si>
  <si>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</si>
  <si>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</si>
  <si>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</si>
  <si>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</si>
  <si>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</si>
  <si>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</si>
  <si>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</si>
  <si>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</si>
  <si>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</si>
  <si>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</si>
  <si>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</si>
  <si>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</si>
  <si>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</si>
  <si>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</si>
  <si>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</si>
  <si>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</si>
  <si>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</si>
  <si>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</si>
  <si>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</si>
  <si>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</si>
  <si>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</si>
  <si>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</si>
  <si>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</si>
  <si>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</si>
  <si>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</si>
  <si>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</si>
  <si>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</si>
  <si>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</si>
  <si>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</si>
  <si>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</si>
  <si>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</si>
  <si>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</si>
  <si>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</si>
  <si>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</si>
  <si>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</si>
  <si>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</si>
  <si>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</si>
  <si>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</si>
  <si>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</si>
  <si>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</si>
  <si>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</si>
  <si>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</si>
  <si>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</si>
  <si>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</si>
  <si>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</si>
  <si>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</si>
  <si>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</si>
  <si>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</si>
  <si>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</si>
  <si>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</si>
  <si>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</si>
  <si>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</si>
  <si>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</si>
  <si>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</si>
  <si>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</si>
  <si>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</si>
  <si>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</si>
  <si>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</si>
  <si>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</si>
  <si>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</si>
  <si>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</si>
  <si>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</si>
  <si>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</si>
  <si>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</si>
  <si>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</si>
  <si>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</si>
  <si>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</si>
  <si>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</si>
  <si>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</si>
  <si>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</si>
  <si>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</si>
  <si>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</si>
  <si>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</si>
  <si>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</si>
  <si>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</si>
  <si>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</si>
  <si>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</si>
  <si>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</si>
  <si>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</si>
  <si>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</si>
  <si>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</si>
  <si>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</si>
  <si>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</si>
  <si>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</si>
  <si>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</si>
  <si>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</si>
  <si>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</si>
  <si>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</si>
  <si>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</si>
  <si>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</si>
  <si>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</si>
  <si>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</si>
  <si>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</si>
  <si>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</si>
  <si>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</si>
  <si>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</si>
  <si>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</si>
  <si>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</si>
  <si>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</si>
  <si>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</si>
  <si>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</si>
  <si>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</si>
  <si>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</si>
  <si>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</si>
  <si>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</si>
  <si>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</si>
  <si>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</si>
  <si>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</si>
  <si>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</si>
  <si>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</si>
  <si>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</si>
  <si>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</si>
  <si>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</si>
  <si>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</si>
  <si>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</si>
  <si>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</si>
  <si>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</si>
  <si>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</si>
  <si>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</si>
  <si>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</si>
  <si>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</si>
  <si>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</si>
  <si>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</si>
  <si>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</si>
  <si>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</si>
  <si>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</si>
  <si>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</si>
  <si>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</si>
  <si>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</si>
  <si>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</si>
  <si>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</si>
  <si>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</si>
  <si>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</si>
  <si>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</si>
  <si>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</si>
  <si>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</si>
  <si>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</si>
  <si>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</si>
  <si>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</si>
  <si>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</si>
  <si>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</si>
  <si>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</si>
  <si>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</si>
  <si>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</si>
  <si>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</si>
  <si>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</si>
  <si>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</si>
  <si>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</si>
  <si>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</si>
  <si>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</si>
  <si>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</si>
  <si>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</si>
  <si>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</si>
  <si>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</si>
  <si>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</si>
  <si>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</si>
  <si>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</si>
  <si>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</si>
  <si>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</si>
  <si>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</si>
  <si>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</si>
  <si>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</si>
  <si>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</si>
  <si>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</si>
  <si>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</si>
  <si>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</si>
  <si>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</si>
  <si>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</si>
  <si>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</si>
  <si>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</si>
  <si>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</si>
  <si>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</si>
  <si>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</si>
  <si>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</si>
  <si>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</si>
  <si>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</si>
  <si>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</si>
  <si>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</si>
  <si>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</si>
  <si>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</si>
  <si>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</si>
  <si>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</si>
  <si>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</si>
  <si>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</si>
  <si>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</si>
  <si>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</si>
  <si>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</si>
  <si>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</si>
  <si>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</si>
  <si>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</si>
  <si>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</si>
  <si>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</si>
  <si>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</si>
  <si>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</si>
  <si>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</si>
  <si>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</si>
  <si>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</si>
  <si>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</si>
  <si>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</si>
  <si>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</si>
  <si>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</si>
  <si>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</si>
  <si>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</si>
  <si>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</si>
  <si>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</si>
  <si>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</si>
  <si>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</si>
  <si>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</si>
  <si>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</si>
  <si>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</si>
  <si>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</si>
  <si>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</si>
  <si>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</si>
  <si>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</si>
  <si>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</si>
  <si>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</si>
  <si>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</si>
  <si>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</si>
  <si>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</si>
  <si>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</si>
  <si>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</si>
  <si>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</si>
  <si>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</si>
  <si>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</si>
  <si>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</si>
  <si>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</si>
  <si>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</si>
  <si>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</si>
  <si>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</si>
  <si>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</si>
  <si>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</si>
  <si>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</si>
  <si>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</si>
  <si>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</si>
  <si>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</si>
  <si>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</si>
  <si>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</si>
  <si>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</si>
  <si>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</si>
  <si>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</si>
  <si>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</si>
  <si>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</si>
  <si>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</si>
  <si>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</si>
  <si>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</si>
  <si>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</si>
  <si>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</si>
  <si>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</si>
  <si>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</si>
  <si>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</si>
  <si>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</si>
  <si>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</si>
  <si>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</si>
  <si>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</si>
  <si>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</si>
  <si>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</si>
  <si>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</si>
  <si>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</si>
  <si>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</si>
  <si>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</si>
  <si>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</si>
  <si>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</si>
  <si>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</si>
  <si>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</si>
  <si>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</si>
  <si>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</si>
  <si>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</si>
  <si>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</si>
  <si>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</si>
  <si>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</si>
  <si>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</si>
  <si>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</si>
  <si>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</si>
  <si>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</si>
  <si>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</si>
  <si>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</si>
  <si>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</si>
  <si>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</si>
  <si>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</si>
  <si>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</si>
  <si>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</si>
  <si>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</si>
  <si>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</si>
  <si>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</si>
  <si>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</si>
  <si>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</si>
  <si>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</si>
  <si>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</si>
  <si>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</si>
  <si>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</si>
  <si>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</si>
  <si>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</si>
  <si>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</si>
  <si>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</si>
  <si>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</si>
  <si>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</si>
  <si>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</si>
  <si>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</si>
  <si>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</si>
  <si>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</si>
  <si>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</si>
  <si>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</si>
  <si>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</si>
  <si>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</si>
  <si>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</si>
  <si>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</si>
  <si>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</si>
  <si>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</si>
  <si>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</si>
  <si>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</si>
  <si>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</si>
  <si>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</si>
  <si>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</si>
  <si>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</si>
  <si>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</si>
  <si>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</si>
  <si>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</si>
  <si>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</si>
  <si>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</si>
  <si>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</si>
  <si>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</si>
  <si>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</si>
  <si>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</si>
  <si>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</si>
  <si>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</si>
  <si>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</si>
  <si>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</si>
  <si>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</si>
  <si>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</si>
  <si>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</si>
  <si>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</si>
  <si>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</si>
  <si>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</si>
  <si>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</si>
  <si>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</si>
  <si>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</si>
  <si>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</si>
  <si>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</si>
  <si>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</si>
  <si>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</si>
  <si>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</si>
  <si>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</si>
  <si>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</si>
  <si>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</si>
  <si>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</si>
  <si>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</si>
  <si>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</si>
  <si>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</si>
  <si>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</si>
  <si>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</si>
  <si>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</si>
  <si>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</si>
  <si>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</si>
  <si>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</si>
  <si>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</si>
  <si>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</si>
  <si>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</si>
  <si>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</si>
  <si>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</si>
  <si>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</si>
  <si>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</si>
  <si>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</si>
  <si>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</si>
  <si>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</si>
  <si>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</si>
  <si>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</si>
  <si>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</si>
  <si>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</si>
  <si>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</si>
  <si>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</si>
  <si>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</si>
  <si>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</si>
  <si>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</si>
  <si>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</si>
  <si>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</si>
  <si>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</si>
  <si>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</si>
  <si>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</si>
  <si>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</si>
  <si>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</si>
  <si>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</si>
  <si>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</si>
  <si>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</si>
  <si>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</si>
  <si>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</si>
  <si>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</si>
  <si>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</si>
  <si>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</si>
  <si>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</si>
  <si>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</si>
  <si>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</si>
  <si>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</si>
  <si>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</si>
  <si>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</si>
  <si>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</si>
  <si>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</si>
  <si>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</si>
  <si>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</si>
  <si>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</si>
  <si>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</si>
  <si>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</si>
  <si>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</si>
  <si>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</si>
  <si>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</si>
  <si>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</si>
  <si>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</si>
  <si>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</si>
  <si>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</si>
  <si>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</si>
  <si>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</si>
  <si>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</si>
  <si>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</si>
  <si>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</si>
  <si>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</si>
  <si>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</si>
  <si>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</si>
  <si>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</si>
  <si>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</si>
  <si>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</si>
  <si>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</si>
  <si>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</si>
  <si>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</si>
  <si>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</si>
  <si>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</si>
  <si>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</si>
  <si>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</si>
  <si>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</si>
  <si>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</si>
  <si>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</si>
  <si>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</si>
  <si>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</si>
  <si>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</si>
  <si>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</si>
  <si>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</si>
  <si>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</si>
  <si>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</si>
  <si>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</si>
  <si>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</si>
  <si>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</si>
  <si>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</si>
  <si>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</si>
  <si>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</si>
  <si>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</si>
  <si>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</si>
  <si>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</si>
  <si>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</si>
  <si>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</si>
  <si>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</si>
  <si>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</si>
  <si>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</si>
  <si>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</si>
  <si>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</si>
  <si>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</si>
  <si>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</si>
  <si>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</si>
  <si>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</si>
  <si>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</si>
  <si>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</si>
  <si>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</si>
  <si>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</si>
  <si>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</si>
  <si>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</si>
  <si>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</si>
  <si>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</si>
  <si>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</si>
  <si>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</si>
  <si>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</si>
  <si>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</si>
  <si>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</si>
  <si>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</si>
  <si>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</si>
  <si>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</si>
  <si>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</si>
  <si>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</si>
  <si>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</si>
  <si>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</si>
  <si>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</si>
  <si>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</si>
  <si>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</si>
  <si>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</si>
  <si>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</si>
  <si>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</si>
  <si>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</si>
  <si>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</si>
  <si>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</si>
  <si>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</si>
  <si>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</si>
  <si>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</si>
  <si>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</si>
  <si>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</si>
  <si>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</si>
  <si>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</si>
  <si>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</si>
  <si>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</si>
  <si>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</si>
  <si>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</si>
  <si>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</si>
  <si>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</si>
  <si>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</si>
  <si>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</si>
  <si>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</si>
  <si>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</si>
  <si>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</si>
  <si>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</si>
  <si>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</si>
  <si>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</si>
  <si>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</si>
  <si>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</si>
  <si>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</si>
  <si>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</si>
  <si>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</si>
  <si>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</si>
  <si>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</si>
  <si>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</si>
  <si>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</si>
  <si>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</si>
  <si>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</si>
  <si>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</si>
  <si>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</si>
  <si>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</si>
  <si>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</si>
  <si>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</si>
  <si>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</si>
  <si>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</si>
  <si>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</si>
  <si>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</si>
  <si>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</si>
  <si>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</si>
  <si>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</si>
  <si>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</si>
  <si>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</si>
  <si>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</si>
  <si>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</si>
  <si>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</si>
  <si>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</si>
  <si>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</si>
  <si>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</si>
  <si>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</si>
  <si>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</si>
  <si>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</si>
  <si>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</si>
  <si>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</si>
  <si>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</si>
  <si>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</si>
  <si>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</si>
  <si>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</si>
  <si>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</si>
  <si>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</si>
  <si>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</si>
  <si>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</si>
  <si>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</si>
  <si>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</si>
  <si>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</si>
  <si>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</si>
  <si>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</si>
  <si>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</si>
  <si>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</si>
  <si>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</si>
  <si>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</si>
  <si>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</si>
  <si>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</si>
  <si>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</si>
  <si>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</si>
  <si>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</si>
  <si>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</si>
  <si>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</si>
  <si>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</si>
  <si>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</si>
  <si>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</si>
  <si>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</si>
  <si>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</si>
  <si>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</si>
  <si>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</si>
  <si>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</si>
  <si>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</si>
  <si>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</si>
  <si>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</si>
  <si>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</si>
  <si>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</si>
  <si>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</si>
  <si>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</si>
  <si>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</si>
  <si>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</si>
  <si>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</si>
  <si>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</si>
  <si>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</si>
  <si>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</si>
  <si>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</si>
  <si>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</si>
  <si>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</si>
  <si>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</si>
  <si>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</si>
  <si>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</si>
  <si>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</si>
  <si>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</si>
  <si>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</si>
  <si>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</si>
  <si>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</si>
  <si>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</si>
  <si>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</si>
  <si>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</si>
  <si>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</si>
  <si>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</si>
  <si>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</si>
  <si>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</si>
  <si>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</si>
  <si>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</si>
  <si>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</si>
  <si>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</si>
  <si>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</si>
  <si>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</si>
  <si>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</si>
  <si>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</si>
  <si>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</si>
  <si>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</si>
  <si>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</si>
  <si>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</si>
  <si>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</si>
  <si>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</si>
  <si>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</si>
  <si>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</si>
  <si>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</si>
  <si>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</si>
  <si>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</si>
  <si>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</si>
  <si>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</si>
  <si>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</si>
  <si>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</si>
  <si>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</si>
  <si>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</si>
  <si>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</si>
  <si>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</si>
  <si>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</si>
  <si>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</si>
  <si>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</si>
  <si>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</si>
  <si>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</si>
  <si>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</si>
  <si>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</si>
  <si>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</si>
  <si>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</si>
  <si>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</si>
  <si>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</si>
  <si>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</si>
  <si>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</si>
  <si>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</si>
  <si>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</si>
  <si>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</si>
  <si>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</si>
  <si>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</si>
  <si>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</si>
  <si>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</si>
  <si>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</si>
  <si>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</si>
  <si>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</si>
  <si>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</si>
  <si>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</si>
  <si>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</si>
  <si>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</si>
  <si>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</si>
  <si>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</si>
  <si>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</si>
  <si>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</si>
  <si>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</si>
  <si>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</si>
  <si>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</si>
  <si>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</si>
  <si>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</si>
  <si>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</si>
  <si>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</si>
  <si>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</si>
  <si>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</si>
  <si>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</si>
  <si>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</si>
  <si>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</si>
  <si>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</si>
  <si>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</si>
  <si>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</si>
  <si>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</si>
  <si>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</si>
  <si>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</si>
  <si>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</si>
  <si>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</si>
  <si>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</si>
  <si>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</si>
  <si>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</si>
  <si>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</si>
  <si>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</si>
  <si>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</si>
  <si>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</si>
  <si>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</si>
  <si>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</si>
  <si>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</si>
  <si>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</si>
  <si>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</si>
  <si>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</si>
  <si>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</si>
  <si>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</si>
  <si>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</si>
  <si>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</si>
  <si>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</si>
  <si>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</si>
  <si>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</si>
  <si>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</si>
  <si>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</si>
  <si>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</si>
  <si>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</si>
  <si>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</si>
  <si>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</si>
  <si>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</si>
  <si>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</si>
  <si>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</si>
  <si>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</si>
  <si>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</si>
  <si>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</si>
  <si>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</si>
  <si>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</si>
  <si>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</si>
  <si>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</si>
  <si>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</si>
  <si>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</si>
  <si>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</si>
  <si>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</si>
  <si>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</si>
  <si>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</si>
  <si>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</si>
  <si>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</si>
  <si>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</si>
  <si>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</si>
  <si>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</si>
  <si>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</si>
  <si>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</si>
  <si>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</si>
  <si>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</si>
  <si>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</si>
  <si>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</si>
  <si>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</si>
  <si>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</si>
  <si>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</si>
  <si>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</si>
  <si>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</si>
  <si>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</si>
  <si>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</si>
  <si>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</si>
  <si>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</si>
  <si>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</si>
  <si>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</si>
  <si>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</si>
  <si>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</si>
  <si>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</si>
  <si>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</si>
  <si>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</si>
  <si>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</si>
  <si>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</si>
  <si>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</si>
  <si>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</si>
  <si>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</si>
  <si>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</si>
  <si>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</si>
  <si>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</si>
  <si>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</si>
  <si>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</si>
  <si>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</si>
  <si>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</si>
  <si>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</si>
  <si>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</si>
  <si>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</si>
  <si>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</si>
  <si>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</si>
  <si>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</si>
  <si>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</si>
  <si>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</si>
  <si>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</si>
  <si>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</si>
  <si>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</si>
  <si>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</si>
  <si>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</si>
  <si>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</si>
  <si>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</si>
  <si>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</si>
  <si>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</si>
  <si>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</si>
  <si>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</si>
  <si>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</si>
  <si>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</si>
  <si>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</si>
  <si>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</si>
  <si>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</si>
  <si>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</si>
  <si>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</si>
  <si>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</si>
  <si>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</si>
  <si>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</si>
  <si>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</si>
  <si>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</si>
  <si>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</si>
  <si>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</si>
  <si>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</si>
  <si>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</si>
  <si>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</si>
  <si>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</si>
  <si>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</si>
  <si>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</si>
  <si>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</si>
  <si>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</si>
  <si>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</si>
  <si>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</si>
  <si>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</si>
  <si>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</si>
  <si>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</si>
  <si>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</si>
  <si>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</si>
  <si>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</si>
  <si>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</si>
  <si>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</si>
  <si>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</si>
  <si>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</si>
  <si>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</si>
  <si>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</si>
  <si>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</si>
  <si>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</si>
  <si>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</si>
  <si>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</si>
  <si>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</si>
  <si>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</si>
  <si>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</si>
  <si>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</si>
  <si>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</si>
  <si>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</si>
  <si>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</si>
  <si>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</si>
  <si>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</si>
  <si>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</si>
  <si>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</si>
  <si>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</si>
  <si>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</si>
  <si>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</si>
  <si>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</si>
  <si>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</si>
  <si>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</si>
  <si>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</si>
  <si>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</si>
  <si>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</si>
  <si>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</si>
  <si>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</si>
  <si>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</si>
  <si>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</si>
  <si>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</si>
  <si>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</si>
  <si>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</si>
  <si>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</si>
  <si>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</si>
  <si>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</si>
  <si>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</si>
  <si>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</si>
  <si>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</si>
  <si>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</si>
  <si>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</si>
  <si>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</si>
  <si>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</si>
  <si>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</si>
  <si>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</si>
  <si>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</si>
  <si>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</si>
  <si>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</si>
  <si>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</si>
  <si>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</si>
  <si>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</si>
  <si>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</si>
  <si>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</si>
  <si>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</si>
  <si>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</si>
  <si>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</si>
  <si>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</si>
  <si>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</si>
  <si>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</si>
  <si>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</si>
  <si>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</si>
  <si>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</si>
  <si>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</si>
  <si>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</si>
  <si>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</si>
  <si>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</si>
  <si>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</si>
  <si>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</si>
  <si>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</si>
  <si>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</si>
  <si>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</si>
  <si>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</si>
  <si>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</si>
  <si>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</si>
  <si>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</si>
  <si>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</si>
  <si>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</si>
  <si>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</si>
  <si>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</si>
  <si>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</si>
  <si>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</si>
  <si>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</si>
  <si>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</si>
  <si>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</si>
  <si>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</si>
  <si>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</si>
  <si>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</si>
  <si>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</si>
  <si>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</si>
  <si>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</si>
  <si>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</si>
  <si>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</si>
  <si>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</si>
  <si>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</si>
  <si>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</si>
  <si>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</si>
  <si>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</si>
  <si>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</si>
  <si>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</si>
  <si>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</si>
  <si>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</si>
  <si>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</si>
  <si>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</si>
  <si>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</si>
  <si>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</si>
  <si>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</si>
  <si>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</si>
  <si>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</si>
  <si>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</si>
  <si>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</si>
  <si>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</si>
  <si>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</si>
  <si>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</si>
  <si>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</si>
  <si>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</si>
  <si>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</si>
  <si>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</si>
  <si>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</si>
  <si>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</si>
  <si>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</si>
  <si>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</si>
  <si>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</si>
  <si>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</si>
  <si>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</si>
  <si>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</si>
  <si>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</si>
  <si>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</si>
  <si>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</si>
  <si>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</si>
  <si>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</si>
  <si>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</si>
  <si>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</si>
  <si>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</si>
  <si>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</si>
  <si>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</si>
  <si>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</si>
  <si>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</si>
  <si>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</si>
  <si>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</si>
  <si>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</si>
  <si>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</si>
  <si>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</si>
  <si>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</si>
  <si>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</si>
  <si>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</si>
  <si>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</si>
  <si>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</si>
  <si>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</si>
  <si>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</si>
  <si>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</si>
  <si>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</si>
  <si>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</si>
  <si>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</si>
  <si>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</si>
  <si>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</si>
  <si>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</si>
  <si>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</si>
  <si>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</si>
  <si>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</si>
  <si>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</si>
  <si>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</si>
  <si>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</si>
  <si>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</si>
  <si>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</si>
  <si>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</si>
  <si>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</si>
  <si>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</si>
  <si>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</si>
  <si>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</si>
  <si>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</si>
  <si>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</si>
  <si>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</si>
  <si>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</si>
  <si>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</si>
  <si>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</si>
  <si>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</si>
  <si>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</si>
  <si>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</si>
  <si>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</si>
  <si>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</si>
  <si>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</si>
  <si>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</si>
  <si>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</si>
  <si>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</si>
  <si>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</si>
  <si>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</si>
  <si>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</si>
  <si>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</si>
  <si>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</si>
  <si>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</si>
  <si>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</si>
  <si>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</si>
  <si>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</si>
  <si>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</si>
  <si>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</si>
  <si>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</si>
  <si>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</si>
  <si>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</si>
  <si>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</si>
  <si>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</si>
  <si>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</si>
  <si>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</si>
  <si>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</si>
  <si>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</si>
  <si>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</si>
  <si>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</si>
  <si>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</si>
  <si>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</si>
  <si>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</si>
  <si>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</si>
  <si>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</si>
  <si>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</si>
  <si>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</si>
  <si>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</si>
  <si>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</si>
  <si>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</si>
  <si>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</si>
  <si>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</si>
  <si>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</si>
  <si>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</si>
  <si>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</si>
  <si>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</si>
  <si>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</si>
  <si>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</si>
  <si>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</si>
  <si>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</si>
  <si>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</si>
  <si>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</si>
  <si>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</si>
  <si>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</si>
  <si>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</si>
  <si>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</si>
  <si>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</si>
  <si>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</si>
  <si>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</si>
  <si>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</si>
  <si>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</si>
  <si>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</si>
  <si>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</si>
  <si>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</si>
  <si>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</si>
  <si>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</si>
  <si>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</si>
  <si>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</si>
  <si>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</si>
  <si>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</si>
  <si>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</si>
  <si>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</si>
  <si>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</si>
  <si>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</si>
  <si>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</si>
  <si>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</si>
  <si>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</si>
  <si>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</si>
  <si>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</si>
  <si>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</si>
  <si>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</si>
  <si>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</si>
  <si>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</si>
  <si>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</si>
  <si>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</si>
  <si>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</si>
  <si>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</si>
  <si>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</si>
  <si>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</si>
  <si>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</si>
  <si>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</si>
  <si>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</si>
  <si>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</si>
  <si>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</si>
  <si>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</si>
  <si>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</si>
  <si>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</si>
  <si>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</si>
  <si>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</si>
  <si>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</si>
  <si>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</si>
  <si>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</si>
  <si>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</si>
  <si>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</si>
  <si>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</si>
  <si>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</si>
  <si>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</si>
  <si>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</si>
  <si>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</si>
  <si>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</si>
  <si>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</si>
  <si>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</si>
  <si>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</si>
  <si>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</si>
  <si>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</si>
  <si>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</si>
  <si>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</si>
  <si>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</si>
  <si>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</si>
  <si>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</si>
  <si>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</si>
  <si>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</si>
  <si>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</si>
  <si>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</si>
  <si>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</si>
  <si>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</si>
  <si>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</si>
  <si>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</si>
  <si>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</si>
  <si>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</si>
  <si>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</si>
  <si>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</si>
  <si>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</si>
  <si>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</si>
  <si>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</si>
  <si>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</si>
  <si>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</si>
  <si>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</si>
  <si>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</si>
  <si>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</si>
  <si>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</si>
  <si>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</si>
  <si>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</si>
  <si>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</si>
  <si>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</si>
  <si>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</si>
  <si>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</si>
  <si>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</si>
  <si>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</si>
  <si>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</si>
  <si>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</si>
  <si>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</si>
  <si>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</si>
  <si>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</si>
  <si>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</si>
  <si>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</si>
  <si>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</si>
  <si>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</si>
  <si>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</si>
  <si>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</si>
  <si>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</si>
  <si>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</si>
  <si>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</si>
  <si>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</si>
  <si>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</si>
  <si>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</si>
  <si>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</si>
  <si>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</si>
  <si>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</si>
  <si>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</si>
  <si>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</si>
  <si>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</si>
  <si>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</si>
  <si>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</si>
  <si>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</si>
  <si>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</si>
  <si>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</si>
  <si>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</si>
  <si>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</si>
  <si>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</si>
  <si>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</si>
  <si>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</si>
  <si>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</si>
  <si>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</si>
  <si>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</si>
  <si>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</si>
  <si>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</si>
  <si>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</si>
  <si>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</si>
  <si>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</si>
  <si>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</si>
  <si>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</si>
  <si>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</si>
  <si>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</si>
  <si>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</si>
  <si>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</si>
  <si>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</si>
  <si>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</si>
  <si>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</si>
  <si>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</si>
  <si>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</si>
  <si>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</si>
  <si>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</si>
  <si>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</si>
  <si>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</si>
  <si>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</si>
  <si>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</si>
  <si>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</si>
  <si>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</si>
  <si>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</si>
  <si>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</si>
  <si>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</si>
  <si>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</si>
  <si>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</si>
  <si>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</si>
  <si>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</si>
  <si>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</si>
  <si>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</si>
  <si>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</si>
  <si>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</si>
  <si>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</si>
  <si>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</si>
  <si>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</si>
  <si>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</si>
  <si>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</si>
  <si>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</si>
  <si>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</si>
  <si>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</si>
  <si>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</si>
  <si>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</si>
  <si>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</si>
  <si>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</si>
  <si>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</si>
  <si>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</si>
  <si>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</si>
  <si>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</si>
  <si>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</si>
  <si>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</si>
  <si>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</si>
  <si>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</si>
  <si>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</si>
  <si>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</si>
  <si>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</si>
  <si>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</si>
  <si>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</si>
  <si>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</si>
  <si>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</si>
  <si>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</si>
  <si>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</si>
  <si>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</si>
  <si>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</si>
  <si>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</si>
  <si>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</si>
  <si>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</si>
  <si>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</si>
  <si>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</si>
  <si>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</si>
  <si>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</si>
  <si>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</si>
  <si>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</si>
  <si>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</si>
  <si>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</si>
  <si>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</si>
  <si>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</si>
  <si>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</si>
  <si>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</si>
  <si>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</si>
  <si>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</si>
  <si>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</si>
  <si>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</si>
  <si>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</si>
  <si>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</si>
  <si>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</si>
  <si>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</si>
  <si>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</si>
  <si>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</si>
  <si>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</si>
  <si>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</si>
  <si>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</si>
  <si>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</si>
  <si>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</si>
  <si>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</si>
  <si>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</si>
  <si>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</si>
  <si>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</si>
  <si>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</si>
  <si>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</si>
  <si>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</si>
  <si>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</si>
  <si>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</si>
  <si>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</si>
  <si>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</si>
  <si>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</si>
  <si>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</si>
  <si>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</si>
  <si>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</si>
  <si>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</si>
  <si>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</si>
  <si>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</si>
  <si>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</si>
  <si>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</si>
  <si>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</si>
  <si>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</si>
  <si>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</si>
  <si>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</si>
  <si>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</si>
  <si>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</si>
  <si>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</si>
  <si>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</si>
  <si>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</si>
  <si>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</si>
  <si>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</si>
  <si>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</si>
  <si>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</si>
  <si>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</si>
  <si>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</si>
  <si>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</si>
  <si>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</si>
  <si>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</si>
  <si>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</si>
  <si>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</si>
  <si>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</si>
  <si>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</si>
  <si>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</si>
  <si>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</si>
  <si>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</si>
  <si>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</si>
  <si>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</si>
  <si>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</si>
  <si>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</si>
  <si>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</si>
  <si>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</si>
  <si>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</si>
  <si>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</si>
  <si>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</si>
  <si>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</si>
  <si>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</si>
  <si>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</si>
  <si>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</si>
  <si>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</si>
  <si>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</si>
  <si>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</si>
  <si>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</si>
  <si>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</si>
  <si>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</si>
  <si>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</si>
  <si>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</si>
  <si>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</si>
  <si>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</si>
  <si>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</si>
  <si>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</si>
  <si>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</si>
  <si>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</si>
  <si>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</si>
  <si>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</si>
  <si>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</si>
  <si>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</si>
  <si>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</si>
  <si>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</si>
  <si>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</si>
  <si>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</si>
  <si>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</si>
  <si>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</si>
  <si>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</si>
  <si>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</si>
  <si>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</si>
  <si>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</si>
  <si>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</si>
  <si>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</si>
  <si>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</si>
  <si>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</si>
  <si>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</si>
  <si>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</si>
  <si>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</si>
  <si>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</si>
  <si>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</si>
  <si>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</si>
  <si>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</si>
  <si>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</si>
  <si>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</si>
  <si>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</si>
  <si>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</si>
  <si>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</si>
  <si>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</si>
  <si>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</si>
  <si>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</si>
  <si>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</si>
  <si>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</si>
  <si>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</si>
  <si>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</si>
  <si>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</si>
  <si>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</si>
  <si>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</si>
  <si>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</si>
  <si>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</si>
  <si>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</si>
  <si>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</si>
  <si>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</si>
  <si>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</si>
  <si>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</si>
  <si>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</si>
  <si>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</si>
  <si>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</si>
  <si>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</si>
  <si>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</si>
  <si>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</si>
  <si>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</si>
  <si>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</si>
  <si>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</si>
  <si>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</si>
  <si>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</si>
  <si>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</si>
  <si>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</si>
  <si>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</si>
  <si>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</si>
  <si>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</si>
  <si>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</si>
  <si>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</si>
  <si>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</si>
  <si>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</si>
  <si>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</si>
  <si>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</si>
  <si>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</si>
  <si>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</si>
  <si>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</si>
  <si>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</si>
  <si>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</si>
  <si>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</si>
  <si>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</si>
  <si>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</si>
  <si>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</si>
  <si>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</si>
  <si>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</si>
  <si>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</si>
  <si>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</si>
  <si>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</si>
  <si>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</si>
  <si>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</si>
  <si>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</si>
  <si>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</si>
  <si>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</si>
  <si>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</si>
  <si>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</si>
  <si>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</si>
  <si>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</si>
  <si>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</si>
  <si>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</si>
  <si>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</si>
  <si>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</si>
  <si>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</si>
  <si>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</si>
  <si>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</si>
  <si>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</si>
  <si>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</si>
  <si>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</si>
  <si>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</si>
  <si>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</si>
  <si>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</si>
  <si>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</si>
  <si>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</si>
  <si>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</si>
  <si>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</si>
  <si>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</si>
  <si>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</si>
  <si>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</si>
  <si>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</si>
  <si>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</si>
  <si>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</si>
  <si>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</si>
  <si>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</si>
  <si>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</si>
  <si>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</si>
  <si>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</si>
  <si>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</si>
  <si>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</si>
  <si>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</si>
  <si>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</si>
  <si>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</si>
  <si>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</si>
  <si>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</si>
  <si>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</si>
  <si>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</si>
  <si>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</si>
  <si>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</si>
  <si>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</si>
  <si>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</si>
  <si>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</si>
  <si>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</si>
  <si>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</si>
  <si>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</si>
  <si>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</si>
  <si>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</si>
  <si>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</si>
  <si>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</si>
  <si>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</si>
  <si>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</si>
  <si>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</si>
  <si>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</si>
  <si>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</si>
  <si>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</si>
  <si>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</si>
  <si>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</si>
  <si>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</si>
  <si>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</si>
  <si>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</si>
  <si>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</si>
  <si>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</si>
  <si>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</si>
  <si>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</si>
  <si>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</si>
  <si>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</si>
  <si>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</si>
  <si>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</si>
  <si>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</si>
  <si>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</si>
  <si>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</si>
  <si>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</si>
  <si>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</si>
  <si>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</si>
  <si>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</si>
  <si>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</si>
  <si>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</si>
  <si>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</si>
  <si>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</si>
  <si>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</si>
  <si>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</si>
  <si>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</si>
  <si>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</si>
  <si>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</si>
  <si>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</si>
  <si>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</si>
  <si>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</si>
  <si>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</si>
  <si>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</si>
  <si>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</si>
  <si>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</si>
  <si>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</si>
  <si>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</si>
  <si>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</si>
  <si>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</si>
  <si>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</si>
  <si>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</si>
  <si>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</si>
  <si>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</si>
  <si>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</si>
  <si>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</si>
  <si>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</si>
  <si>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</si>
  <si>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</si>
  <si>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</si>
  <si>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</si>
  <si>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</si>
  <si>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</si>
  <si>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</si>
  <si>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</si>
  <si>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</si>
  <si>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</si>
  <si>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</si>
  <si>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</si>
  <si>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</si>
  <si>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</si>
  <si>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</si>
  <si>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</si>
  <si>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</si>
  <si>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</si>
  <si>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</si>
  <si>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</si>
  <si>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</si>
  <si>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</si>
  <si>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</si>
  <si>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</si>
  <si>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</si>
  <si>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</si>
  <si>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</si>
  <si>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</si>
  <si>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</si>
  <si>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</si>
  <si>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</si>
  <si>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</si>
  <si>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</si>
  <si>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</si>
  <si>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</si>
  <si>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</si>
  <si>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</si>
  <si>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</si>
  <si>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</si>
  <si>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</si>
  <si>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</si>
  <si>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</si>
  <si>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</si>
  <si>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</si>
  <si>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</si>
  <si>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</si>
  <si>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</si>
  <si>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</si>
  <si>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</si>
  <si>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</si>
  <si>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</si>
  <si>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</si>
  <si>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</si>
  <si>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</si>
  <si>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</si>
  <si>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</si>
  <si>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</si>
  <si>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</si>
  <si>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</si>
  <si>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</si>
  <si>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</si>
  <si>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</si>
  <si>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</si>
  <si>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</si>
  <si>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</si>
  <si>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</si>
  <si>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</si>
  <si>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</si>
  <si>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</si>
  <si>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</si>
  <si>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</si>
  <si>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</si>
  <si>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</si>
  <si>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</si>
  <si>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</si>
  <si>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</si>
  <si>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</si>
  <si>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</si>
  <si>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</si>
  <si>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</si>
  <si>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</si>
  <si>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</si>
  <si>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</si>
  <si>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</si>
  <si>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</si>
  <si>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</si>
  <si>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</si>
  <si>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</si>
  <si>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</si>
  <si>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</si>
  <si>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</si>
  <si>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</si>
  <si>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</si>
  <si>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</si>
  <si>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</si>
  <si>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</si>
  <si>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</si>
  <si>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</si>
  <si>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</si>
  <si>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</si>
  <si>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</si>
  <si>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</si>
  <si>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</si>
  <si>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</si>
  <si>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</si>
  <si>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</si>
  <si>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</si>
  <si>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</si>
  <si>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</si>
  <si>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</si>
  <si>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</si>
  <si>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</si>
  <si>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</si>
  <si>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</si>
  <si>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</si>
  <si>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</si>
  <si>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</si>
  <si>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</si>
  <si>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</si>
  <si>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</si>
  <si>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</si>
  <si>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</si>
  <si>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</si>
  <si>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</si>
  <si>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</si>
  <si>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</si>
  <si>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</si>
  <si>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</si>
  <si>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</si>
  <si>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</si>
  <si>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</si>
  <si>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</si>
  <si>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</si>
  <si>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</si>
  <si>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</si>
  <si>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</si>
  <si>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</si>
  <si>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</si>
  <si>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</si>
  <si>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</si>
  <si>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</si>
  <si>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</si>
  <si>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</si>
  <si>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</si>
  <si>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</si>
  <si>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</si>
  <si>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</si>
  <si>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</si>
  <si>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</si>
  <si>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</si>
  <si>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</si>
  <si>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</si>
  <si>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</si>
  <si>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</si>
  <si>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</si>
  <si>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</si>
  <si>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</si>
  <si>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</si>
  <si>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</si>
  <si>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</si>
  <si>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</si>
  <si>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</si>
  <si>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</si>
  <si>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</si>
  <si>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</si>
  <si>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</si>
  <si>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</si>
  <si>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</si>
  <si>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</si>
  <si>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</si>
  <si>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</si>
  <si>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</si>
  <si>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</si>
  <si>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</si>
  <si>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</si>
  <si>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</si>
  <si>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</si>
  <si>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</si>
  <si>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</si>
  <si>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</si>
  <si>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</si>
  <si>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</si>
  <si>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</si>
  <si>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</si>
  <si>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</si>
  <si>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</si>
  <si>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</si>
  <si>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</si>
  <si>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</si>
  <si>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</si>
  <si>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</si>
  <si>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</si>
  <si>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</si>
  <si>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</si>
  <si>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</si>
  <si>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</si>
  <si>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</si>
  <si>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</si>
  <si>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</si>
  <si>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</si>
  <si>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</si>
  <si>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</si>
  <si>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</si>
  <si>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</si>
  <si>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</si>
  <si>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</si>
  <si>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</si>
  <si>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</si>
  <si>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</si>
  <si>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</si>
  <si>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</si>
  <si>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</si>
  <si>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</si>
  <si>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</si>
  <si>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</si>
  <si>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</si>
  <si>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</si>
  <si>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</si>
  <si>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</si>
  <si>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</si>
  <si>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</si>
  <si>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</si>
  <si>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</si>
  <si>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</si>
  <si>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</si>
  <si>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</si>
  <si>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</si>
  <si>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</si>
  <si>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</si>
  <si>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</si>
  <si>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</si>
  <si>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</si>
  <si>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</si>
  <si>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</si>
  <si>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</si>
  <si>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</si>
  <si>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</si>
  <si>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</si>
  <si>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</si>
  <si>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</si>
  <si>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</si>
  <si>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</si>
  <si>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</si>
  <si>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</si>
  <si>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</si>
  <si>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</si>
  <si>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</si>
  <si>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</si>
  <si>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</si>
  <si>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</si>
  <si>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</si>
  <si>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</si>
  <si>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</si>
  <si>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</si>
  <si>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</si>
  <si>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</si>
  <si>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</si>
  <si>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</si>
  <si>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</si>
  <si>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</si>
  <si>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</si>
  <si>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</si>
  <si>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</si>
  <si>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</si>
  <si>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</si>
  <si>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</si>
  <si>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</si>
  <si>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</si>
  <si>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</si>
  <si>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</si>
  <si>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</si>
  <si>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</si>
  <si>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</si>
  <si>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</si>
  <si>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</si>
  <si>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</si>
  <si>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</si>
  <si>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</si>
  <si>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</si>
  <si>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</si>
  <si>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</si>
  <si>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</si>
  <si>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</si>
  <si>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</si>
  <si>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</si>
  <si>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</si>
  <si>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</si>
  <si>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</si>
  <si>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</si>
  <si>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</si>
  <si>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</si>
  <si>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</si>
  <si>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</si>
  <si>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</si>
  <si>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</si>
  <si>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</si>
  <si>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</si>
  <si>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</si>
  <si>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</si>
  <si>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</si>
  <si>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</si>
  <si>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</si>
  <si>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</si>
  <si>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</si>
  <si>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</si>
  <si>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</si>
  <si>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</si>
  <si>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</si>
  <si>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</si>
  <si>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</si>
  <si>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</si>
  <si>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</si>
  <si>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</si>
  <si>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</si>
  <si>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</si>
  <si>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</si>
  <si>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</si>
  <si>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</si>
  <si>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</si>
  <si>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</si>
  <si>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</si>
  <si>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</si>
  <si>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</si>
  <si>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</si>
  <si>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</si>
  <si>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</si>
  <si>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</si>
  <si>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</si>
  <si>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</si>
  <si>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</si>
  <si>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</si>
  <si>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</si>
  <si>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</si>
  <si>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</si>
  <si>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</si>
  <si>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</si>
  <si>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</si>
  <si>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</si>
  <si>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</si>
  <si>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</si>
  <si>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</si>
  <si>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</si>
  <si>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</si>
  <si>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</si>
  <si>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</si>
  <si>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</si>
  <si>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</si>
  <si>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</si>
  <si>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</si>
  <si>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</si>
  <si>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</si>
  <si>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</si>
  <si>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</si>
  <si>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</si>
  <si>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</si>
  <si>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</si>
  <si>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</si>
  <si>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</si>
  <si>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</si>
  <si>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</si>
  <si>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</si>
  <si>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</si>
  <si>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</si>
  <si>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</si>
  <si>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</si>
  <si>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</si>
  <si>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</si>
  <si>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</si>
  <si>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</si>
  <si>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</si>
  <si>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</si>
  <si>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</si>
  <si>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</si>
  <si>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</si>
  <si>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</si>
  <si>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</si>
  <si>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</si>
  <si>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</si>
  <si>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</si>
  <si>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</si>
  <si>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</si>
  <si>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</si>
  <si>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</si>
  <si>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</si>
  <si>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</si>
  <si>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</si>
  <si>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</si>
  <si>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</si>
  <si>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</si>
  <si>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</si>
  <si>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</si>
  <si>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</si>
  <si>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</si>
  <si>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</si>
  <si>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</si>
  <si>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</si>
  <si>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</si>
  <si>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</si>
  <si>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</si>
  <si>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</si>
  <si>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</si>
  <si>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</si>
  <si>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</si>
  <si>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</si>
  <si>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</si>
  <si>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</si>
  <si>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</si>
  <si>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</si>
  <si>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</si>
  <si>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</si>
  <si>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</si>
  <si>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</si>
  <si>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</si>
  <si>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</si>
  <si>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</si>
  <si>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</si>
  <si>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</si>
  <si>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</si>
  <si>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</si>
  <si>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</si>
  <si>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</si>
  <si>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</si>
  <si>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</si>
  <si>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</si>
  <si>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</si>
  <si>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</si>
  <si>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</si>
  <si>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</si>
  <si>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</si>
  <si>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</si>
  <si>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</si>
  <si>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</si>
  <si>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</si>
  <si>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</si>
  <si>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</si>
  <si>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</si>
  <si>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</si>
  <si>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</si>
  <si>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</si>
  <si>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</si>
  <si>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</si>
  <si>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</si>
  <si>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</si>
  <si>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</si>
  <si>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</si>
  <si>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</si>
  <si>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</si>
  <si>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</si>
  <si>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</si>
  <si>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</si>
  <si>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</si>
  <si>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</si>
  <si>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</si>
  <si>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</si>
  <si>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</si>
  <si>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</si>
  <si>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</si>
  <si>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</si>
  <si>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</si>
  <si>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</si>
  <si>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</si>
  <si>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</si>
  <si>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</si>
  <si>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</si>
  <si>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</si>
  <si>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</si>
  <si>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</si>
  <si>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</si>
  <si>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</si>
  <si>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</si>
  <si>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</si>
  <si>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</si>
  <si>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</si>
  <si>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</si>
  <si>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</si>
  <si>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</si>
  <si>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</si>
  <si>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</si>
  <si>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</si>
  <si>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</si>
  <si>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</si>
  <si>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</si>
  <si>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</si>
  <si>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</si>
  <si>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</si>
  <si>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</si>
  <si>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</si>
  <si>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</si>
  <si>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</si>
  <si>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</si>
  <si>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</si>
  <si>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</si>
  <si>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</si>
  <si>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</si>
  <si>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</si>
  <si>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</si>
  <si>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</si>
  <si>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</si>
  <si>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</si>
  <si>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</si>
  <si>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</si>
  <si>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</si>
  <si>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</si>
  <si>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</si>
  <si>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</si>
  <si>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</si>
  <si>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</si>
  <si>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</si>
  <si>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</si>
  <si>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</si>
  <si>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</si>
  <si>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</si>
  <si>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</si>
  <si>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</si>
  <si>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</si>
  <si>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</si>
  <si>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</si>
  <si>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</si>
  <si>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</si>
  <si>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</si>
  <si>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</si>
  <si>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</si>
  <si>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</si>
  <si>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</si>
  <si>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</si>
  <si>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</si>
  <si>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</si>
  <si>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</si>
  <si>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</si>
  <si>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</si>
  <si>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</si>
  <si>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</si>
  <si>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</si>
  <si>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</si>
  <si>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</si>
  <si>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</si>
  <si>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</si>
  <si>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</si>
  <si>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</si>
  <si>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</si>
  <si>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</si>
  <si>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</si>
  <si>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</si>
  <si>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</si>
  <si>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</si>
  <si>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</si>
  <si>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</si>
  <si>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</si>
  <si>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</si>
  <si>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</si>
  <si>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</si>
  <si>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</si>
  <si>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</si>
  <si>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</si>
  <si>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</si>
  <si>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</si>
  <si>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</si>
  <si>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</si>
  <si>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</si>
  <si>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</si>
  <si>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</si>
  <si>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</si>
  <si>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</si>
  <si>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</si>
  <si>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</si>
  <si>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</si>
  <si>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</si>
  <si>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</si>
  <si>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</si>
  <si>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</si>
  <si>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</si>
  <si>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</si>
  <si>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</si>
  <si>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</si>
  <si>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</si>
  <si>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</si>
  <si>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</si>
  <si>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</si>
  <si>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</si>
  <si>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</si>
  <si>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</si>
  <si>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</si>
  <si>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</si>
  <si>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</si>
  <si>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</si>
  <si>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</si>
  <si>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</si>
  <si>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</si>
  <si>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</si>
  <si>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</si>
  <si>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</si>
  <si>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</si>
  <si>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</si>
  <si>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</si>
  <si>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</si>
  <si>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</si>
  <si>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</si>
  <si>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</si>
  <si>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</si>
  <si>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</si>
  <si>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</si>
  <si>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</si>
  <si>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</si>
  <si>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</si>
  <si>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</si>
  <si>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</si>
  <si>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</si>
  <si>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</si>
  <si>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</si>
  <si>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</si>
  <si>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</si>
  <si>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</si>
  <si>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</si>
  <si>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</si>
  <si>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</si>
  <si>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</si>
  <si>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</si>
  <si>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</si>
  <si>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</si>
  <si>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</si>
  <si>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</si>
  <si>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</si>
  <si>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</si>
  <si>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</si>
  <si>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</si>
  <si>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</si>
  <si>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</si>
  <si>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</si>
  <si>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</si>
  <si>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</si>
  <si>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</si>
  <si>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</si>
  <si>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</si>
  <si>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</si>
  <si>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</si>
  <si>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</si>
  <si>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</si>
  <si>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</si>
  <si>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</si>
  <si>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</si>
  <si>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</si>
  <si>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</si>
  <si>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</si>
  <si>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</si>
  <si>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</si>
  <si>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</si>
  <si>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</si>
  <si>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</si>
  <si>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</si>
  <si>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</si>
  <si>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</si>
  <si>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</si>
  <si>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</si>
  <si>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</si>
  <si>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</si>
  <si>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</si>
  <si>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</si>
  <si>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</si>
  <si>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</si>
  <si>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</si>
  <si>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</si>
  <si>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</si>
  <si>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</si>
  <si>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</si>
  <si>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</si>
  <si>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</si>
  <si>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</si>
  <si>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</si>
  <si>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</si>
  <si>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</si>
  <si>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</si>
  <si>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</si>
  <si>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</si>
  <si>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</si>
  <si>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</si>
  <si>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</si>
  <si>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</si>
  <si>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</si>
  <si>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</si>
  <si>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</si>
  <si>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</si>
  <si>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</si>
  <si>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</si>
  <si>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</si>
  <si>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</si>
  <si>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</si>
  <si>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</si>
  <si>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</si>
  <si>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</si>
  <si>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</si>
  <si>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</si>
  <si>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</si>
  <si>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</si>
  <si>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</si>
  <si>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</si>
  <si>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</si>
  <si>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</si>
  <si>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</si>
  <si>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</si>
  <si>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</si>
  <si>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</si>
  <si>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</si>
  <si>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</si>
  <si>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</si>
  <si>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</si>
  <si>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</si>
  <si>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</si>
  <si>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</si>
  <si>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</si>
  <si>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</si>
  <si>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</si>
  <si>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</si>
  <si>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</si>
  <si>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</si>
  <si>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</si>
  <si>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</si>
  <si>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</si>
  <si>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</si>
  <si>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</si>
  <si>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</si>
  <si>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</si>
  <si>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</si>
  <si>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</si>
  <si>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</si>
  <si>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</si>
  <si>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</si>
  <si>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</si>
  <si>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</si>
  <si>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</si>
  <si>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</si>
  <si>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</si>
  <si>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</si>
  <si>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</si>
  <si>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</si>
  <si>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</si>
  <si>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</si>
  <si>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</si>
  <si>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</si>
  <si>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</si>
  <si>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</si>
  <si>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</si>
  <si>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</si>
  <si>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</si>
  <si>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</si>
  <si>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</si>
  <si>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</si>
  <si>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</si>
  <si>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</si>
  <si>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</si>
  <si>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</si>
  <si>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</si>
  <si>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</si>
  <si>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</si>
  <si>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</si>
  <si>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</si>
  <si>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</si>
  <si>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</si>
  <si>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</si>
  <si>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</si>
  <si>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</si>
  <si>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</si>
  <si>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</si>
  <si>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</si>
  <si>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</si>
  <si>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</si>
  <si>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</si>
  <si>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</si>
  <si>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</si>
  <si>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</si>
  <si>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</si>
  <si>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</si>
  <si>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</si>
  <si>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</si>
  <si>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</si>
  <si>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</si>
  <si>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</si>
  <si>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</si>
  <si>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</si>
  <si>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</si>
  <si>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</si>
  <si>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</si>
  <si>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</si>
  <si>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</si>
  <si>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</si>
  <si>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</si>
  <si>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</si>
  <si>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</si>
  <si>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</si>
  <si>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</si>
  <si>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</si>
  <si>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</si>
  <si>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</si>
  <si>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</si>
  <si>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</si>
  <si>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</si>
  <si>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</si>
  <si>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</si>
  <si>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</si>
  <si>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</si>
  <si>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</si>
  <si>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</si>
  <si>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</si>
  <si>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</si>
  <si>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</si>
  <si>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</si>
  <si>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</si>
  <si>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</si>
  <si>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</si>
  <si>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</si>
  <si>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</si>
  <si>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</si>
  <si>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</si>
  <si>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</si>
  <si>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</si>
  <si>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</si>
  <si>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</si>
  <si>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</si>
  <si>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</si>
  <si>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</si>
  <si>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</si>
  <si>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</si>
  <si>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</si>
  <si>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</si>
  <si>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</si>
  <si>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</si>
  <si>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</si>
  <si>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</si>
  <si>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</si>
  <si>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</si>
  <si>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</si>
  <si>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</si>
  <si>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</si>
  <si>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</si>
  <si>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</si>
  <si>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</si>
  <si>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</si>
  <si>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</si>
  <si>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</si>
  <si>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</si>
  <si>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</si>
  <si>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</si>
  <si>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</si>
  <si>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</si>
  <si>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</si>
  <si>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</si>
  <si>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</si>
  <si>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</si>
  <si>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</si>
  <si>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</si>
  <si>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</si>
  <si>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</si>
  <si>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</si>
  <si>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</si>
  <si>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</si>
  <si>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</si>
  <si>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</si>
  <si>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</si>
  <si>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</si>
  <si>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</si>
  <si>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</si>
  <si>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</si>
  <si>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</si>
  <si>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</si>
  <si>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</si>
  <si>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</si>
  <si>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</si>
  <si>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</si>
  <si>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</si>
  <si>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</si>
  <si>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</si>
  <si>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</si>
  <si>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</si>
  <si>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</si>
  <si>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</si>
  <si>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</si>
  <si>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</si>
  <si>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</si>
  <si>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</si>
  <si>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</si>
  <si>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</si>
  <si>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</si>
  <si>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</si>
  <si>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</si>
  <si>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</si>
  <si>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</si>
  <si>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</si>
  <si>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</si>
  <si>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</si>
  <si>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</si>
  <si>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</si>
  <si>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</si>
  <si>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</si>
  <si>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</si>
  <si>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</si>
  <si>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</si>
  <si>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</si>
  <si>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</si>
  <si>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</si>
  <si>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</si>
  <si>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</si>
  <si>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</si>
  <si>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</si>
  <si>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</si>
  <si>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</si>
  <si>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</si>
  <si>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</si>
  <si>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</si>
  <si>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</si>
  <si>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</si>
  <si>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</si>
  <si>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</si>
  <si>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</si>
  <si>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</si>
  <si>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</si>
  <si>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</si>
  <si>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</si>
  <si>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</si>
  <si>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</si>
  <si>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</si>
  <si>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</si>
  <si>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</si>
  <si>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</si>
  <si>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</si>
  <si>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</si>
  <si>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</si>
  <si>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</si>
  <si>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</si>
  <si>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</si>
  <si>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</si>
  <si>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</si>
  <si>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</si>
  <si>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</si>
  <si>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</si>
  <si>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</si>
  <si>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</si>
  <si>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</si>
  <si>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</si>
  <si>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</si>
  <si>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</si>
  <si>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</si>
  <si>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</si>
  <si>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</si>
  <si>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</si>
  <si>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</si>
  <si>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</si>
  <si>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</si>
  <si>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</si>
  <si>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</si>
  <si>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</si>
  <si>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</si>
  <si>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</si>
  <si>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</si>
  <si>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</si>
  <si>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</si>
  <si>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</si>
  <si>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</si>
  <si>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</si>
  <si>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</si>
  <si>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</si>
  <si>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</si>
  <si>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</si>
  <si>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</si>
  <si>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</si>
  <si>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</si>
  <si>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</si>
  <si>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</si>
  <si>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</si>
  <si>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</si>
  <si>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</si>
  <si>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</si>
  <si>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</si>
  <si>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</si>
  <si>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</si>
  <si>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</si>
  <si>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</si>
  <si>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</si>
  <si>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</si>
  <si>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</si>
  <si>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</si>
  <si>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</si>
  <si>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</si>
  <si>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</si>
  <si>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</si>
  <si>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</si>
  <si>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</si>
  <si>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</si>
  <si>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</si>
  <si>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</si>
  <si>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</si>
  <si>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</si>
  <si>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</si>
  <si>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</si>
  <si>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</si>
  <si>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</si>
  <si>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</si>
  <si>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</si>
  <si>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</si>
  <si>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</si>
  <si>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</si>
  <si>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</si>
  <si>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</si>
  <si>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</si>
  <si>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</si>
  <si>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</si>
  <si>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</si>
  <si>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</si>
  <si>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</si>
  <si>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</si>
  <si>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</si>
  <si>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</si>
  <si>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</si>
  <si>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</si>
  <si>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</si>
  <si>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</si>
  <si>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</si>
  <si>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</si>
  <si>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</si>
  <si>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</si>
  <si>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</si>
  <si>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</si>
  <si>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</si>
  <si>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</si>
  <si>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</si>
  <si>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</si>
  <si>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</si>
  <si>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</si>
  <si>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</si>
  <si>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</si>
  <si>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</si>
  <si>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</si>
  <si>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</si>
  <si>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</si>
  <si>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</si>
  <si>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</si>
  <si>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</si>
  <si>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</si>
  <si>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</si>
  <si>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</si>
  <si>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</si>
  <si>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</si>
  <si>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</si>
  <si>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</si>
  <si>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</si>
  <si>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</si>
  <si>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</si>
  <si>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</si>
  <si>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</si>
  <si>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</si>
  <si>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</si>
  <si>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</si>
  <si>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</si>
  <si>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</si>
  <si>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</si>
  <si>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</si>
  <si>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</si>
  <si>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</si>
  <si>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</si>
  <si>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</si>
  <si>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</si>
  <si>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</si>
  <si>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秦港街东、渤海路北、神华路南、港城大街西</t>
  </si>
  <si>
    <t>沧州市</t>
  </si>
  <si>
    <t>住宅用地</t>
  </si>
  <si>
    <t>挂牌</t>
  </si>
  <si>
    <t>≥1,≤2</t>
  </si>
  <si>
    <t>2017-07-05</t>
  </si>
  <si>
    <t>沧州渤海新区新城房地产开发有限公司</t>
  </si>
  <si>
    <t>惠民街东、渤海路北</t>
  </si>
  <si>
    <t>综合用地(含住宅)</t>
  </si>
  <si>
    <t>沧州黄骅港京港房地产开发有限公司</t>
  </si>
  <si>
    <t>兴贸街东、惠民街西、渤海路北</t>
  </si>
  <si>
    <t>≥1,≤1.8</t>
  </si>
  <si>
    <t>南大港产业园区,东至规划二经路、南至国有空地、西至国有空地、北至规划四纬路东路</t>
  </si>
  <si>
    <t>＞1,≤2</t>
  </si>
  <si>
    <t>2017-06-21</t>
  </si>
  <si>
    <t>沧州康凯旅游开发有限公司</t>
  </si>
  <si>
    <t>南大港产业园区,东至国有空地、南至规划一纬路东路、西至规划二经路、北至国有空地</t>
  </si>
  <si>
    <t>沧州益聚旅游开发有限公司</t>
  </si>
  <si>
    <t>南大港产业园区,东至国有空地、南至国有空地、西至规划二经路、北至规划四纬路东路</t>
  </si>
  <si>
    <t>沧州元康旅游开发有限公司</t>
  </si>
  <si>
    <t>南大港产业园区,东至规划一经路、国有空地,南至规划二纬路、国有空地,西至国有空地,北至规划一纬路</t>
  </si>
  <si>
    <t>沧州凯进旅游开发有限公司</t>
  </si>
  <si>
    <t>南大港产业园区,东至国有空地,南至国有空地、D-2017-17号宗地,西至规划二经路,北至规划一纬路东路</t>
  </si>
  <si>
    <t>南大港产业园区,东至规划二经路、国有空地,南至规划三纬路东路、国有空地,西至国有空地,北至规划一纬路东路</t>
  </si>
  <si>
    <t>南大港产业园区,东至规划二经路、南至规划四纬路东路、西至国有空地、北至规划三纬路东路</t>
  </si>
  <si>
    <t>南大港产业园区,东至国有空地、南至规划二纬路、西至规划一经路、北至规划一纬路</t>
  </si>
  <si>
    <t>南大港产业园区,东至规划一经路、南至规划西一支路、西至规划西二支路、北至规划四纬路</t>
  </si>
  <si>
    <t>＞1,≤1.5</t>
  </si>
  <si>
    <t>南大港产业园区,东至规划二经路、南至规划一纬路东路、西至国有空地、北至国有空地</t>
  </si>
  <si>
    <t>南大港产业园区,东至规划一经路、南至规划一纬路、西至国有空地、北至国有空地</t>
  </si>
  <si>
    <t>南大港产业园区,东至国有空地、南至规划四纬路、西至规划一经路、北至规划三纬路</t>
  </si>
  <si>
    <t>南大港产业园区,东至国有空地、南至规划一纬路、西至规划一经路、北至国有空地</t>
  </si>
  <si>
    <t>南大港产业园区,东至国有空地、南至国有空地、西至规划一经路、北至规划四纬路</t>
  </si>
  <si>
    <t>＞1,≤1.8</t>
  </si>
  <si>
    <t>南大港产业园区,东至国有空地、南至规划四纬路东路、西至规划二经路、北至规划三纬路东路</t>
  </si>
  <si>
    <t>市区昌骅大街东、规划四十四号路南</t>
  </si>
  <si>
    <t>大于或等于1并且小于或等于1.8</t>
  </si>
  <si>
    <t>2017-06-16</t>
  </si>
  <si>
    <t>黄骅市金都房地产开发有限责任公司</t>
  </si>
  <si>
    <t>市区海华大街东、中心路北</t>
  </si>
  <si>
    <t>大于或等于1并且小于或等于2</t>
  </si>
  <si>
    <t>黄骅市晟邺房地产开发有限公司</t>
  </si>
  <si>
    <t>市区北海路南、人民路北、长虹大街东</t>
  </si>
  <si>
    <t>黄骅市滨城房地产开发有限公司、黄骅市广信房地产开发有限公司、黄骅市泰和房地产开发有限公司、黄骅市海茏房地产开发有限公司</t>
  </si>
  <si>
    <t>市区海华大街东、渤海路南</t>
  </si>
  <si>
    <t>沧州中祥房地产开发有限公司</t>
  </si>
  <si>
    <t>≥1,≤2.6</t>
  </si>
  <si>
    <t>2017-05-19</t>
  </si>
  <si>
    <t>沧州市鑫江房地产开发有限公司</t>
  </si>
  <si>
    <t>南大港产业园区城区,东至沧胡同、南至沧州市鑫江房地产开发有限公司、西至土路、北至一分区西庄大队国有空地</t>
  </si>
  <si>
    <t>黄骅市常郭镇常国公路南侧</t>
  </si>
  <si>
    <t>大于或等于1并且小于或等于1.5</t>
  </si>
  <si>
    <t>2017-04-19</t>
  </si>
  <si>
    <t>黄骅市盛世家和房地产开发有限公司</t>
  </si>
  <si>
    <t>东至砖路、南至公路、西至胡同、北至顺达路</t>
  </si>
  <si>
    <t>≥1且≤1.6</t>
  </si>
  <si>
    <t>2017-02-24</t>
  </si>
  <si>
    <t>沧州市南大港管理区今朝房地产开发有限公司</t>
  </si>
  <si>
    <t>南大港产业园区一分区,东至一分区邓庄大队国有空地、南至公路、西至公路、北至沧州渤海新区秀水湾房地产开发有限公司用地。</t>
  </si>
  <si>
    <t>≥1且≤1.1</t>
  </si>
  <si>
    <t>2016-12-23</t>
  </si>
  <si>
    <t>金江路南、规划东泰道东侧</t>
  </si>
  <si>
    <t>2016-10-19</t>
  </si>
  <si>
    <t>黄骅市海茏房地产开发有限公司</t>
  </si>
  <si>
    <t>神华大街东、44号路南</t>
  </si>
  <si>
    <t>2016-09-30</t>
  </si>
  <si>
    <t>迎宾大街西、渤海路南、中心路北、供销花园小区东北角</t>
  </si>
  <si>
    <t>振兴街东、华兴大街西、新海路北</t>
  </si>
  <si>
    <t>黄骅市顺驰房地产开发有限公司</t>
  </si>
  <si>
    <t>中捷产业园区,东至利民路,西至沧州临港阳光房地产开发有限公司用地,北至沧州渤海新区中捷产业园区卫生局用地,南至捷克路</t>
  </si>
  <si>
    <t>≥1,≤1.1</t>
  </si>
  <si>
    <t>2016-08-11</t>
  </si>
  <si>
    <t>沧州临港阳光房地产开发有限公司</t>
  </si>
  <si>
    <t>建华大街西、中心路北</t>
  </si>
  <si>
    <t>≥1且≤1.8</t>
  </si>
  <si>
    <t>2016-07-22</t>
  </si>
  <si>
    <t>沧州市凯德房地产开发有限公司</t>
  </si>
  <si>
    <t>东至沧州市公安局渤海新区分局用地,西至人民街,南至检验检疫局用地,北至国有空地</t>
  </si>
  <si>
    <t>≥1且≤1.3</t>
  </si>
  <si>
    <t>2016-06-29</t>
  </si>
  <si>
    <t>旧城工业园规划路南、经六路东</t>
  </si>
  <si>
    <t>2016-02-03</t>
  </si>
  <si>
    <t>黄骅市腾跃路桥工程有限公司</t>
  </si>
  <si>
    <t>新海路南、和平大街西</t>
  </si>
  <si>
    <t>大于或等于1并且小于或等于2.9</t>
  </si>
  <si>
    <t>2015-10-23</t>
  </si>
  <si>
    <t>黄骅市泰和房地产开发有限公司</t>
  </si>
  <si>
    <t>南大港产业园区城区,东至南大港一完小、南至刘兴隆、刘敏赞、刘忠华用地、西至工商局用地、北至国有空地</t>
  </si>
  <si>
    <t>大于1并且小于或等于2</t>
  </si>
  <si>
    <t>2015-10-22</t>
  </si>
  <si>
    <t>人民路南、迎宾大街东</t>
  </si>
  <si>
    <t>大于或等于1并且小于或等于4</t>
  </si>
  <si>
    <t>2015-09-02</t>
  </si>
  <si>
    <t>黄骅市远东房地产开发有限公司</t>
  </si>
  <si>
    <t>城北工业园纬一路北、新205国道东</t>
  </si>
  <si>
    <t>河北宏泰专用汽车有限公司</t>
  </si>
  <si>
    <t>东至乐丰路,西至长兴大街,北至渤海路,南至国有空地</t>
  </si>
  <si>
    <t>大于1并且小于或等于1.8</t>
  </si>
  <si>
    <t>2015-08-06</t>
  </si>
  <si>
    <t>河北泰元房地产开发有限公司</t>
  </si>
  <si>
    <t>东至乐丰路,西至长兴大街,北至国有空地,南至新华路</t>
  </si>
  <si>
    <t>东至乐丰路,西至国有空地,北至国有空地,南至渤海路</t>
  </si>
  <si>
    <t>大于1并且小于或等于1.2</t>
  </si>
  <si>
    <t>和平大街东、新海路北</t>
  </si>
  <si>
    <t>2015-06-04</t>
  </si>
  <si>
    <t>旧城镇丁北排干北侧</t>
  </si>
  <si>
    <t>大于或等于1并且小于或等于1.4</t>
  </si>
  <si>
    <t>南大港产业园区城区</t>
  </si>
  <si>
    <t>大于1并且小于或等于2.2</t>
  </si>
  <si>
    <t>2015-05-15</t>
  </si>
  <si>
    <t>南大港产业园区</t>
  </si>
  <si>
    <t>大于1并且小于或等于1.5</t>
  </si>
  <si>
    <t>2015-04-24</t>
  </si>
  <si>
    <t>沧州市南大港澎信房地产有限公司</t>
  </si>
  <si>
    <t>羊二庄镇税务分局南侧</t>
  </si>
  <si>
    <t>2015-04-01</t>
  </si>
  <si>
    <t>黄骅市滨城房地产开发有限公司</t>
  </si>
  <si>
    <t>出让</t>
  </si>
  <si>
    <t>地上</t>
  </si>
  <si>
    <t>平层住宅</t>
  </si>
  <si>
    <t>住宅</t>
    <phoneticPr fontId="7" type="noConversion"/>
  </si>
  <si>
    <t xml:space="preserve"> </t>
    <phoneticPr fontId="233" type="noConversion"/>
  </si>
  <si>
    <r>
      <rPr>
        <sz val="10"/>
        <rFont val="宋体"/>
        <family val="3"/>
        <charset val="134"/>
      </rPr>
      <t>地面单价</t>
    </r>
    <phoneticPr fontId="233" type="noConversion"/>
  </si>
  <si>
    <t>单位面积地价</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</si>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</sst>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86" fillId="6" borderId="0" xfId="15" applyFill="1"/>
    <xf numFmtId="0" fontId="0" fillId="6" borderId="0" xfId="0" applyFill="1">
      <alignment vertical="center"/>
    </xf>
    <xf numFmtId="0" fontId="86" fillId="9" borderId="0" xfId="15" applyFill="1"/>
    <xf numFmtId="0" fontId="0" fillId="9" borderId="0" xfId="0" applyFill="1">
      <alignment vertical="center"/>
    </xf>
    <xf numFmtId="185" fontId="76" fillId="9"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0" borderId="0" xfId="15" applyFill="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2674</v>
      </c>
      <c r="B1" s="2931" t="s">
        <v>2771</v>
      </c>
    </row>
    <row r="2" spans="1:55" s="2935" customFormat="1" ht="15" thickTop="1">
      <c r="A2" s="2933" t="s">
        <v>2678</v>
      </c>
      <c r="B2" s="2934" t="str">
        <f>'预评函-封皮'!B37</f>
        <v>出让国有建设用地使用权预评估</v>
      </c>
      <c r="AX2" s="2936"/>
      <c r="AZ2" s="2936"/>
      <c r="BA2" s="2937"/>
      <c r="BC2" s="2937"/>
    </row>
    <row r="3" spans="1:55" s="2938" customFormat="1">
      <c r="A3" s="2917" t="s">
        <v>2679</v>
      </c>
      <c r="B3" s="2920">
        <f>'预评函-封皮'!B40</f>
        <v>0</v>
      </c>
    </row>
    <row r="4" spans="1:55" s="2919" customFormat="1">
      <c r="A4" s="2917" t="s">
        <v>2680</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2681</v>
      </c>
      <c r="B5" s="2940" t="str">
        <f>'预评函-封皮'!B49</f>
        <v>康正预评字号</v>
      </c>
    </row>
    <row r="6" spans="1:55" s="2941" customFormat="1" ht="15" thickTop="1">
      <c r="A6" s="2933" t="s">
        <v>2723</v>
      </c>
      <c r="B6" s="2934" t="str">
        <f>'预评函-1'!A4</f>
        <v>受贵公司委托，我公司对出让国有建设用地使用权进行了预评估。</v>
      </c>
      <c r="AM6" s="2942"/>
    </row>
    <row r="7" spans="1:55" s="2916" customFormat="1">
      <c r="A7" s="2917" t="s">
        <v>2675</v>
      </c>
      <c r="B7" s="2918" t="str">
        <f>'预评函-1'!A6</f>
        <v>估价对象为使用的、位于出让国有建设用地使用权。根据《国有土地使用证》[]，估价对象（分摊）出让国有建设用地使用权面积为102554.85平方米。根据《建设工程规划许可证》[]、《出让合同》[]，估价对象规划建筑面积为205109.7平方米。</v>
      </c>
    </row>
    <row r="8" spans="1:55" s="2916" customFormat="1">
      <c r="A8" s="2917" t="s">
        <v>2676</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2726</v>
      </c>
      <c r="B9" s="2918" t="str">
        <f>'预评函-1'!A9</f>
        <v>本次评估为委托估价方了解标的物之市场价格提供参考依据而评估出让国有建设用地使用权市场价格。</v>
      </c>
    </row>
    <row r="10" spans="1:55" s="2916" customFormat="1">
      <c r="A10" s="2917" t="s">
        <v>2677</v>
      </c>
      <c r="B10" s="2918" t="str">
        <f>'预评函-1'!A11</f>
        <v>2017年7月7日（评估专业人员勘察现场之日）</v>
      </c>
    </row>
    <row r="11" spans="1:55" s="2916" customFormat="1">
      <c r="A11" s="2917" t="s">
        <v>2683</v>
      </c>
      <c r="B11" s="2918" t="str">
        <f>'预评函-1'!A14</f>
        <v>根据《国有土地使用证》[]，本次评估估价对象证载（地类）用途为。</v>
      </c>
    </row>
    <row r="12" spans="1:55" s="2916" customFormat="1">
      <c r="A12" s="2917" t="s">
        <v>2684</v>
      </c>
      <c r="B12" s="2918" t="str">
        <f>'预评函-1'!A15</f>
        <v>本次评估设定用途即为证载用途。</v>
      </c>
    </row>
    <row r="13" spans="1:55" s="2916" customFormat="1">
      <c r="A13" s="2917" t="s">
        <v>2685</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2686</v>
      </c>
      <c r="B14" s="2918" t="str">
        <f>'预评函-1'!A18</f>
        <v>。本次评估设定土地开发程度为红线外市政基础设施达“七通”、宗地红线内场地平整。</v>
      </c>
    </row>
    <row r="15" spans="1:55" s="2916" customFormat="1">
      <c r="A15" s="2917" t="s">
        <v>2682</v>
      </c>
      <c r="B15" s="2918" t="str">
        <f>'预评函-1'!A20</f>
        <v>根据《国有土地使用证》[]，估价对象（分摊）出让国有建设用地使用权面积为102554.85平方米。根据《建设工程规划许可证》[]、《出让合同》[]，估价对象规划建筑面积为205109.7平方米。</v>
      </c>
    </row>
    <row r="16" spans="1:55" s="2916" customFormat="1">
      <c r="A16" s="2917" t="s">
        <v>2687</v>
      </c>
      <c r="B16" s="291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30日。截至估价期日，出让国有建设用地使用权剩余土地使用年限为。</v>
      </c>
    </row>
    <row r="17" spans="1:48" s="2916" customFormat="1">
      <c r="A17" s="2917" t="s">
        <v>2688</v>
      </c>
      <c r="B17" s="2918" t="str">
        <f>'预评函-1'!A23</f>
        <v>本次评估设定估价对象剩余土地使用年限为。</v>
      </c>
    </row>
    <row r="18" spans="1:48" s="2916" customFormat="1">
      <c r="A18" s="2917" t="s">
        <v>2689</v>
      </c>
      <c r="B18" s="2918" t="str">
        <f>'预评函-1'!A25</f>
        <v>本次估价的“出让国有建设用地使用权价格”是指在估价对象土地所有权为国家所有，使用权性质为出让，在公开市场条件下、于估价期日2017年7月7日，在规划利用条件下、设定土地开发程度为红线外“七通”、宗地内场地，设定用途为，剩余土地使用年限为的出让国有建设用地使用权价格。</v>
      </c>
    </row>
    <row r="19" spans="1:48" s="2916" customFormat="1">
      <c r="A19" s="2917" t="s">
        <v>2690</v>
      </c>
      <c r="B19" s="291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6" customFormat="1">
      <c r="A20" s="2917" t="s">
        <v>2691</v>
      </c>
      <c r="B20" s="2918" t="str">
        <f>'预评函-1'!A27</f>
        <v/>
      </c>
    </row>
    <row r="21" spans="1:48" s="2932" customFormat="1" ht="15" thickBot="1">
      <c r="A21" s="2939" t="s">
        <v>2692</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2693</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2694</v>
      </c>
      <c r="B23" s="2918" t="str">
        <f>'预评函-2'!K2</f>
        <v>估价期日：2017年7月7日</v>
      </c>
    </row>
    <row r="24" spans="1:48">
      <c r="A24" s="2917" t="s">
        <v>2695</v>
      </c>
      <c r="B24" s="2918" t="str">
        <f>'预评函-2'!R2</f>
        <v>估价期日的国有建设用地使用权性质：出让</v>
      </c>
    </row>
    <row r="25" spans="1:48">
      <c r="A25" s="2917" t="s">
        <v>2751</v>
      </c>
      <c r="B25" s="2918" t="str">
        <f>'预评函-2'!A3</f>
        <v>估价期日土地使用者</v>
      </c>
    </row>
    <row r="26" spans="1:48">
      <c r="A26" s="2917" t="s">
        <v>2727</v>
      </c>
      <c r="B26" s="2918" t="str">
        <f>'预评函-2'!A5</f>
        <v>中信开发</v>
      </c>
    </row>
    <row r="27" spans="1:48">
      <c r="A27" s="2917" t="s">
        <v>2752</v>
      </c>
      <c r="B27" s="2918" t="str">
        <f>'预评函-2'!B3</f>
        <v>宗地编号/不动产单元号</v>
      </c>
    </row>
    <row r="28" spans="1:48">
      <c r="A28" s="2917" t="s">
        <v>2728</v>
      </c>
      <c r="B28" s="2918" t="str">
        <f>'预评函-2'!B5</f>
        <v>11111111111</v>
      </c>
    </row>
    <row r="29" spans="1:48">
      <c r="A29" s="2917" t="s">
        <v>2754</v>
      </c>
      <c r="B29" s="2918">
        <f>'预评函-2'!C5</f>
        <v>22</v>
      </c>
    </row>
    <row r="30" spans="1:48">
      <c r="A30" s="2917" t="s">
        <v>2755</v>
      </c>
      <c r="B30" s="2918" t="str">
        <f>'预评函-2'!D3</f>
        <v>土地使用证编号/不动产权证书编号</v>
      </c>
    </row>
    <row r="31" spans="1:48">
      <c r="A31" s="2917" t="s">
        <v>2729</v>
      </c>
      <c r="B31" s="2918" t="str">
        <f>'预评函-2'!D5</f>
        <v>京国土字第111号</v>
      </c>
    </row>
    <row r="32" spans="1:48">
      <c r="A32" s="2917" t="s">
        <v>2730</v>
      </c>
      <c r="B32" s="2918">
        <f>'预评函-2'!E5</f>
        <v>0</v>
      </c>
      <c r="AV32" s="2922"/>
    </row>
    <row r="33" spans="1:2">
      <c r="A33" s="2917" t="s">
        <v>2731</v>
      </c>
      <c r="B33" s="2918">
        <f>'预评函-2'!F5</f>
        <v>258</v>
      </c>
    </row>
    <row r="34" spans="1:2">
      <c r="A34" s="2917" t="s">
        <v>2732</v>
      </c>
      <c r="B34" s="2918">
        <f>'预评函-2'!G5</f>
        <v>0</v>
      </c>
    </row>
    <row r="35" spans="1:2">
      <c r="A35" s="2917" t="s">
        <v>2733</v>
      </c>
      <c r="B35" s="2918">
        <f>'预评函-2'!H5</f>
        <v>1.5</v>
      </c>
    </row>
    <row r="36" spans="1:2">
      <c r="A36" s="2917" t="s">
        <v>2734</v>
      </c>
      <c r="B36" s="2918">
        <f>'预评函-2'!I5</f>
        <v>1.5</v>
      </c>
    </row>
    <row r="37" spans="1:2">
      <c r="A37" s="2917" t="s">
        <v>2735</v>
      </c>
      <c r="B37" s="2918">
        <f>'预评函-2'!J5</f>
        <v>1.5</v>
      </c>
    </row>
    <row r="38" spans="1:2">
      <c r="A38" s="2917" t="s">
        <v>2736</v>
      </c>
      <c r="B38" s="2918" t="str">
        <f>'预评函-2'!K5</f>
        <v>红线外七通、宗地红线内</v>
      </c>
    </row>
    <row r="39" spans="1:2">
      <c r="A39" s="2917" t="s">
        <v>2737</v>
      </c>
      <c r="B39" s="2918" t="str">
        <f>'预评函-2'!L5</f>
        <v>红线外七通、宗地红线内场地</v>
      </c>
    </row>
    <row r="40" spans="1:2">
      <c r="A40" s="2917" t="s">
        <v>2756</v>
      </c>
      <c r="B40" s="2918" t="str">
        <f>'预评函-2'!M3</f>
        <v>（剩余）土地使用年限/年</v>
      </c>
    </row>
    <row r="41" spans="1:2">
      <c r="A41" s="2917" t="s">
        <v>2738</v>
      </c>
      <c r="B41" s="2918">
        <f>'预评函-2'!M5</f>
        <v>0</v>
      </c>
    </row>
    <row r="42" spans="1:2">
      <c r="A42" s="2917" t="s">
        <v>2757</v>
      </c>
      <c r="B42" s="2918" t="str">
        <f>'预评函-2'!N3</f>
        <v>（分摊）出让国有建设用地使用权面积/㎡</v>
      </c>
    </row>
    <row r="43" spans="1:2">
      <c r="A43" s="2917" t="s">
        <v>2739</v>
      </c>
      <c r="B43" s="2918">
        <f>'预评函-2'!N5</f>
        <v>102554.85</v>
      </c>
    </row>
    <row r="44" spans="1:2">
      <c r="A44" s="2917" t="s">
        <v>2758</v>
      </c>
      <c r="B44" s="2918" t="str">
        <f>'预评函-2'!O3</f>
        <v>规划建筑面积/㎡</v>
      </c>
    </row>
    <row r="45" spans="1:2">
      <c r="A45" s="2917" t="s">
        <v>2740</v>
      </c>
      <c r="B45" s="2918">
        <f>'预评函-2'!O5</f>
        <v>205109.7</v>
      </c>
    </row>
    <row r="46" spans="1:2">
      <c r="A46" s="2917" t="s">
        <v>2741</v>
      </c>
      <c r="B46" s="2918">
        <f ca="1">'预评函-2'!P5</f>
        <v>1132</v>
      </c>
    </row>
    <row r="47" spans="1:2">
      <c r="A47" s="2917" t="s">
        <v>2742</v>
      </c>
      <c r="B47" s="2918">
        <f ca="1">'预评函-2'!Q5</f>
        <v>566</v>
      </c>
    </row>
    <row r="48" spans="1:2">
      <c r="A48" s="2917" t="s">
        <v>2743</v>
      </c>
      <c r="B48" s="2918">
        <f ca="1">'预评函-2'!R5</f>
        <v>11614</v>
      </c>
    </row>
    <row r="49" spans="1:2">
      <c r="A49" s="2917" t="s">
        <v>2759</v>
      </c>
      <c r="B49" s="2918" t="str">
        <f>'预评函-2'!A6</f>
        <v>抵押价格</v>
      </c>
    </row>
    <row r="50" spans="1:2">
      <c r="A50" s="2917" t="s">
        <v>2744</v>
      </c>
      <c r="B50" s="2918" t="str">
        <f>'预评函-2'!R6</f>
        <v>——</v>
      </c>
    </row>
    <row r="51" spans="1:2">
      <c r="A51" s="2917" t="s">
        <v>2760</v>
      </c>
      <c r="B51" s="2918" t="str">
        <f>'预评函-2'!A7</f>
        <v>——</v>
      </c>
    </row>
    <row r="52" spans="1:2">
      <c r="A52" s="2917" t="s">
        <v>2745</v>
      </c>
      <c r="B52" s="2918" t="str">
        <f>'预评函-2'!R7</f>
        <v>——</v>
      </c>
    </row>
    <row r="53" spans="1:2">
      <c r="A53" s="2917" t="s">
        <v>2761</v>
      </c>
      <c r="B53" s="2918">
        <f>'预评函-2'!A8</f>
        <v>0</v>
      </c>
    </row>
    <row r="54" spans="1:2" s="2932" customFormat="1" ht="15" thickBot="1">
      <c r="A54" s="2939" t="s">
        <v>2746</v>
      </c>
      <c r="B54" s="2940" t="str">
        <f>'预评函-2'!R8</f>
        <v>——</v>
      </c>
    </row>
    <row r="55" spans="1:2" ht="15" thickTop="1">
      <c r="A55" s="2928" t="s">
        <v>2696</v>
      </c>
      <c r="B55" s="2929" t="str">
        <f>'预评函-3'!A2</f>
        <v>1.权利限制：根据估价对象《不动产权证书》原件、《国有土地使用权》复印件，截至估价期日，估价对象抵押权未见登记。未设定租赁等其他他项权利。</v>
      </c>
    </row>
    <row r="56" spans="1:2">
      <c r="A56" s="2917" t="s">
        <v>2697</v>
      </c>
      <c r="B56" s="2918" t="str">
        <f>'预评函-3'!A3</f>
        <v>2.基础设施条件：估价对象实际开发程度为红线外七通、宗地红线内；本次评估设定开发程度为红线外七通、宗地红线内场地。</v>
      </c>
    </row>
    <row r="57" spans="1:2">
      <c r="A57" s="2917" t="s">
        <v>2698</v>
      </c>
      <c r="B57" s="2918" t="str">
        <f>'预评函-3'!A4</f>
        <v>3.估价规划限制条件：详见《建设工程规划许可证》[]、《出让合同》[]。</v>
      </c>
    </row>
    <row r="58" spans="1:2" s="2932" customFormat="1" ht="15" thickBot="1">
      <c r="A58" s="2939" t="s">
        <v>2747</v>
      </c>
      <c r="B58" s="2940" t="str">
        <f>'预评函-3'!A5</f>
        <v>4.影响价格的其他限定条件：无。</v>
      </c>
    </row>
    <row r="59" spans="1:2" ht="15" thickTop="1">
      <c r="A59" s="2928" t="s">
        <v>2699</v>
      </c>
      <c r="B59" s="2929" t="str">
        <f>'预评函-3'!A8</f>
        <v/>
      </c>
    </row>
    <row r="60" spans="1:2">
      <c r="A60" s="2917" t="s">
        <v>2700</v>
      </c>
      <c r="B60" s="2918" t="str">
        <f>'预评函-3'!A9</f>
        <v/>
      </c>
    </row>
    <row r="61" spans="1:2">
      <c r="A61" s="2917" t="s">
        <v>2702</v>
      </c>
      <c r="B61" s="2918" t="str">
        <f>'预评函-3'!A10</f>
        <v/>
      </c>
    </row>
    <row r="62" spans="1:2">
      <c r="A62" s="2917" t="s">
        <v>2701</v>
      </c>
      <c r="B62" s="2918" t="str">
        <f>'预评函-3'!A11</f>
        <v/>
      </c>
    </row>
    <row r="63" spans="1:2">
      <c r="A63" s="2917" t="s">
        <v>2703</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2704</v>
      </c>
      <c r="B64" s="2923" t="str">
        <f>'预评函-3'!A13</f>
        <v>（3）。</v>
      </c>
    </row>
    <row r="65" spans="1:2">
      <c r="A65" s="2917" t="s">
        <v>2705</v>
      </c>
      <c r="B65" s="2924" t="str">
        <f>'预评函-3'!A14</f>
        <v/>
      </c>
    </row>
    <row r="66" spans="1:2">
      <c r="A66" s="2917" t="s">
        <v>2706</v>
      </c>
      <c r="B66" s="292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2707</v>
      </c>
      <c r="B67" s="292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2710</v>
      </c>
      <c r="B68" s="2943">
        <f>'预评函-3'!D30</f>
        <v>42558</v>
      </c>
    </row>
    <row r="69" spans="1:2" ht="15" thickTop="1">
      <c r="A69" s="2928" t="s">
        <v>2708</v>
      </c>
      <c r="B69" s="2929" t="str">
        <f>'预评函-3'!A20</f>
        <v>土地估价师</v>
      </c>
    </row>
    <row r="70" spans="1:2">
      <c r="A70" s="2917" t="s">
        <v>2708</v>
      </c>
      <c r="B70" s="2924">
        <f>'预评函-3'!B20</f>
        <v>0</v>
      </c>
    </row>
    <row r="71" spans="1:2">
      <c r="A71" s="2917" t="s">
        <v>2709</v>
      </c>
      <c r="B71" s="2918" t="str">
        <f>'预评函-3'!A21</f>
        <v>土地估价师</v>
      </c>
    </row>
    <row r="72" spans="1:2" s="2932" customFormat="1" ht="15" thickBot="1">
      <c r="A72" s="2939" t="s">
        <v>2709</v>
      </c>
      <c r="B72" s="2945">
        <f>'预评函-3'!B21</f>
        <v>0</v>
      </c>
    </row>
    <row r="73" spans="1:2" ht="15" thickTop="1">
      <c r="A73" s="2928" t="s">
        <v>2768</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2769</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2770</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2805</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8" sqref="D18"/>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84" t="str">
        <f>IF(B10="北京市","北京市",C10)&amp;F10&amp;B16&amp;"国有建设用地使用权"&amp;B9&amp;"预评估"</f>
        <v>出让国有建设用地使用权预评估</v>
      </c>
      <c r="C1" s="3185"/>
      <c r="D1" s="3185"/>
      <c r="E1" s="3185"/>
      <c r="F1" s="3185"/>
      <c r="G1" s="3185"/>
      <c r="H1" s="3185"/>
      <c r="I1" s="3186"/>
      <c r="J1" s="1699"/>
      <c r="K1" s="2490" t="str">
        <f>IF(B10="北京市","北京市",C10)&amp;F10&amp;B16&amp;"国有建设用地使用权"&amp;B9</f>
        <v>出让国有建设用地使用权</v>
      </c>
      <c r="L1" s="1728"/>
      <c r="M1" s="1728"/>
      <c r="N1" s="1699"/>
      <c r="O1" s="1700"/>
      <c r="P1" s="1699"/>
      <c r="Q1" s="1699"/>
      <c r="R1" s="1699"/>
      <c r="S1" s="1699"/>
      <c r="T1" s="1699"/>
      <c r="U1" s="1699"/>
    </row>
    <row r="2" spans="1:21">
      <c r="A2" s="1665" t="s">
        <v>1948</v>
      </c>
      <c r="B2" s="1847"/>
      <c r="D2" s="1699"/>
      <c r="E2" s="1699"/>
      <c r="F2" s="1699"/>
      <c r="G2" s="1699"/>
      <c r="H2" s="1665"/>
      <c r="I2" s="1700"/>
      <c r="J2" s="1699"/>
      <c r="K2" s="2490" t="str">
        <f>IF(B10="北京市","北京市",C10)&amp;F10&amp;B16&amp;"国有建设用地使用权"</f>
        <v>出让国有建设用地使用权</v>
      </c>
      <c r="L2" s="1728"/>
      <c r="M2" s="1728"/>
      <c r="N2" s="1699"/>
      <c r="O2" s="1700"/>
      <c r="P2" s="1699"/>
      <c r="Q2" s="1699"/>
      <c r="R2" s="1699"/>
      <c r="S2" s="1699"/>
      <c r="T2" s="1699"/>
      <c r="U2" s="1699"/>
    </row>
    <row r="3" spans="1:21">
      <c r="A3" s="1666" t="s">
        <v>1949</v>
      </c>
      <c r="B3" s="1667">
        <v>42923</v>
      </c>
      <c r="C3" s="1668" t="s">
        <v>2005</v>
      </c>
      <c r="D3" s="1667">
        <f>B3</f>
        <v>42923</v>
      </c>
      <c r="E3" s="1699"/>
      <c r="F3" s="1699"/>
      <c r="G3" s="1699"/>
      <c r="H3" s="1665"/>
      <c r="I3" s="1700"/>
      <c r="J3" s="1699"/>
      <c r="K3" s="1779"/>
      <c r="L3" s="1728"/>
      <c r="M3" s="1728"/>
      <c r="N3" s="1699"/>
      <c r="O3" s="1700"/>
      <c r="P3" s="1699"/>
      <c r="Q3" s="1699"/>
      <c r="R3" s="1699"/>
      <c r="S3" s="1699"/>
      <c r="T3" s="1699"/>
      <c r="U3" s="1699"/>
    </row>
    <row r="4" spans="1:21" ht="29.25" thickBot="1">
      <c r="A4" s="1669" t="s">
        <v>1950</v>
      </c>
      <c r="B4" s="1848" t="s">
        <v>2907</v>
      </c>
      <c r="C4" s="1851">
        <f>SUMIF(土地估价师,B4,估价师及机构信息!E3:E24)</f>
        <v>0</v>
      </c>
      <c r="D4" s="1848" t="s">
        <v>2907</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c r="C5" s="1671"/>
      <c r="D5" s="1672"/>
      <c r="E5" s="1699"/>
      <c r="F5" s="1699"/>
      <c r="G5" s="1699"/>
      <c r="H5" s="1665"/>
      <c r="I5" s="1700"/>
      <c r="J5" s="1699"/>
      <c r="K5" s="1779"/>
      <c r="L5" s="1728"/>
      <c r="M5" s="1728"/>
      <c r="N5" s="1699"/>
      <c r="O5" s="1700"/>
      <c r="P5" s="1699"/>
      <c r="Q5" s="1699"/>
      <c r="R5" s="1699"/>
      <c r="S5" s="1699"/>
      <c r="T5" s="1699"/>
      <c r="U5" s="1699"/>
    </row>
    <row r="6" spans="1:21" ht="26.25">
      <c r="A6" s="1668" t="s">
        <v>2724</v>
      </c>
      <c r="B6" s="1794"/>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2725</v>
      </c>
      <c r="B7" s="1794"/>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c r="C8" s="1676"/>
      <c r="D8" s="3190" t="s">
        <v>1954</v>
      </c>
      <c r="E8" s="1849"/>
      <c r="F8" s="1677"/>
      <c r="G8" s="1665"/>
      <c r="H8" s="1665"/>
      <c r="I8" s="1712"/>
      <c r="J8" s="1699"/>
      <c r="K8" s="1779"/>
      <c r="L8" s="1728"/>
      <c r="M8" s="1728"/>
      <c r="N8" s="1699"/>
      <c r="O8" s="1700"/>
      <c r="P8" s="1699"/>
      <c r="Q8" s="1699"/>
      <c r="R8" s="1699"/>
      <c r="S8" s="1699"/>
      <c r="T8" s="1699"/>
      <c r="U8" s="1699"/>
    </row>
    <row r="9" spans="1:21" ht="15" thickBot="1">
      <c r="A9" s="1678" t="s">
        <v>1953</v>
      </c>
      <c r="B9" s="1679"/>
      <c r="C9" s="1680"/>
      <c r="D9" s="3191"/>
      <c r="E9" s="1679"/>
      <c r="F9" s="1752"/>
      <c r="G9" s="1747"/>
      <c r="H9" s="1747"/>
      <c r="I9" s="1748"/>
      <c r="J9" s="1699"/>
      <c r="K9" s="1779"/>
      <c r="L9" s="1728"/>
      <c r="M9" s="1728"/>
      <c r="N9" s="1699"/>
      <c r="O9" s="1700"/>
      <c r="P9" s="1699"/>
      <c r="Q9" s="1699"/>
      <c r="R9" s="1699"/>
      <c r="S9" s="1699"/>
      <c r="T9" s="1699"/>
      <c r="U9" s="1699"/>
    </row>
    <row r="10" spans="1:21" ht="15" thickTop="1">
      <c r="A10" s="1749" t="s">
        <v>2010</v>
      </c>
      <c r="B10" s="1724"/>
      <c r="C10" s="1681"/>
      <c r="D10" s="1672"/>
      <c r="E10" s="1682" t="s">
        <v>1956</v>
      </c>
      <c r="F10" s="1683"/>
      <c r="G10" s="1750"/>
      <c r="H10" s="1751"/>
      <c r="I10" s="1672"/>
      <c r="J10" s="1699"/>
      <c r="K10" s="1779"/>
      <c r="L10" s="1728"/>
      <c r="M10" s="1728"/>
      <c r="N10" s="1699"/>
      <c r="O10" s="1700"/>
      <c r="P10" s="1699"/>
      <c r="Q10" s="1699"/>
      <c r="R10" s="1699"/>
      <c r="S10" s="1699"/>
      <c r="T10" s="1699"/>
      <c r="U10" s="1699"/>
    </row>
    <row r="11" spans="1:21">
      <c r="A11" s="1702" t="s">
        <v>2011</v>
      </c>
      <c r="B11" s="1703"/>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2069</v>
      </c>
      <c r="B12" s="3187"/>
      <c r="C12" s="3188"/>
      <c r="D12" s="3189"/>
      <c r="E12" s="1704" t="s">
        <v>2072</v>
      </c>
      <c r="F12" s="3205" t="s">
        <v>2908</v>
      </c>
      <c r="G12" s="3206"/>
      <c r="H12" s="3206"/>
      <c r="I12" s="3207"/>
      <c r="J12" s="1699"/>
      <c r="K12" s="1779"/>
      <c r="L12" s="1728"/>
      <c r="M12" s="1728"/>
      <c r="N12" s="1699"/>
      <c r="O12" s="1700"/>
      <c r="P12" s="1699"/>
      <c r="Q12" s="1699"/>
      <c r="R12" s="1699"/>
      <c r="S12" s="1699"/>
      <c r="T12" s="1699"/>
      <c r="U12" s="1699"/>
    </row>
    <row r="13" spans="1:21">
      <c r="A13" s="1692" t="s">
        <v>2070</v>
      </c>
      <c r="B13" s="3187"/>
      <c r="C13" s="3188"/>
      <c r="D13" s="3189"/>
      <c r="E13" s="1704" t="s">
        <v>2072</v>
      </c>
      <c r="F13" s="3205" t="s">
        <v>2909</v>
      </c>
      <c r="G13" s="3206"/>
      <c r="H13" s="3206"/>
      <c r="I13" s="3207"/>
      <c r="J13" s="1699"/>
      <c r="K13" s="1779"/>
      <c r="L13" s="1728"/>
      <c r="M13" s="1728"/>
      <c r="N13" s="1699"/>
      <c r="O13" s="1700"/>
      <c r="P13" s="1699"/>
      <c r="Q13" s="1699"/>
      <c r="R13" s="1699"/>
      <c r="S13" s="1699"/>
      <c r="T13" s="1699"/>
      <c r="U13" s="1699"/>
    </row>
    <row r="14" spans="1:21">
      <c r="A14" s="1666" t="s">
        <v>2073</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3094</v>
      </c>
      <c r="C16" s="1704" t="s">
        <v>1958</v>
      </c>
      <c r="D16" s="2682" t="s">
        <v>1959</v>
      </c>
      <c r="E16" s="1727"/>
      <c r="F16" s="1727"/>
      <c r="G16" s="1727"/>
      <c r="H16" s="1727"/>
      <c r="I16" s="1691" t="s">
        <v>1964</v>
      </c>
      <c r="J16" s="1699"/>
      <c r="K16" s="2491" t="str">
        <f>IF(D17="","",D16&amp;TEXT(D17,"yyyy年m月d日;;"))</f>
        <v>住宅2087年5月30日</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68452</v>
      </c>
      <c r="E17" s="1705"/>
      <c r="F17" s="1705"/>
      <c r="G17" s="1705"/>
      <c r="H17" s="1705"/>
      <c r="I17" s="1705"/>
      <c r="J17" s="1699"/>
      <c r="K17" s="2490" t="str">
        <f>CONCATENATE(K16,L16,M16,N16,O16,P16,Q16,R16,S16,T16,,U16)</f>
        <v>住宅2087年5月30日</v>
      </c>
      <c r="L17" s="1728"/>
      <c r="M17" s="1728"/>
      <c r="N17" s="1699"/>
      <c r="O17" s="1700"/>
      <c r="P17" s="1699"/>
      <c r="Q17" s="1699"/>
      <c r="R17" s="1699"/>
      <c r="S17" s="1699"/>
      <c r="T17" s="1699"/>
      <c r="U17" s="1699"/>
    </row>
    <row r="18" spans="1:21">
      <c r="A18" s="1768"/>
      <c r="B18" s="1687"/>
      <c r="C18" s="1688" t="s">
        <v>1966</v>
      </c>
      <c r="D18" s="1689">
        <v>70</v>
      </c>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69.94</v>
      </c>
      <c r="E19" s="1690" t="str">
        <f>IF(B16="出让",IF(E17="","",ROUNDDOWN(MIN((E17-$D$3)/365,E18),2)),E18)</f>
        <v/>
      </c>
      <c r="F19" s="1690" t="str">
        <f>IF(B16="出让",IF(F17="","",ROUNDDOWN(MIN((F17-$D$3)/365,F18),2)),F18)</f>
        <v/>
      </c>
      <c r="G19" s="1690" t="str">
        <f>IF(B16="出让",IF(G17="","",ROUNDDOWN(MIN((G17-$D$3)/365,G18),2)),G18)</f>
        <v/>
      </c>
      <c r="H19" s="1690" t="str">
        <f>IF(B16="出让",IF(H17="","",ROUNDDOWN(MIN((H17-$D$3)/365,H18),2)),H18)</f>
        <v/>
      </c>
      <c r="I19" s="1690" t="str">
        <f>IF(B16="出让",IF(I17="","",ROUNDDOWN(MIN((I17-$D$3)/365,I18),2)),I18)</f>
        <v/>
      </c>
      <c r="J19" s="1699"/>
      <c r="K19" s="1779"/>
      <c r="L19" s="1728"/>
      <c r="M19" s="1728"/>
      <c r="N19" s="1699"/>
      <c r="O19" s="1700"/>
      <c r="P19" s="1699"/>
      <c r="Q19" s="1699"/>
      <c r="R19" s="1699"/>
      <c r="S19" s="1699"/>
      <c r="T19" s="1699"/>
      <c r="U19" s="1699"/>
    </row>
    <row r="20" spans="1:21">
      <c r="A20" s="1791"/>
      <c r="B20" s="1792"/>
      <c r="C20" s="1793" t="s">
        <v>2071</v>
      </c>
      <c r="D20" s="3202"/>
      <c r="E20" s="3203"/>
      <c r="F20" s="3203"/>
      <c r="G20" s="3203"/>
      <c r="H20" s="3203"/>
      <c r="I20" s="3204"/>
      <c r="J20" s="1699"/>
      <c r="K20" s="1779"/>
      <c r="L20" s="1728"/>
      <c r="M20" s="1728"/>
      <c r="N20" s="1699"/>
      <c r="O20" s="1700"/>
      <c r="P20" s="1699"/>
      <c r="Q20" s="1699"/>
      <c r="R20" s="1699"/>
      <c r="S20" s="1699"/>
      <c r="T20" s="1699"/>
      <c r="U20" s="1699"/>
    </row>
    <row r="21" spans="1:21">
      <c r="A21" s="1768" t="s">
        <v>1968</v>
      </c>
      <c r="B21" s="1769" t="s">
        <v>1969</v>
      </c>
      <c r="C21" s="1764">
        <f>'数据-汇总表'!E3</f>
        <v>205109.7</v>
      </c>
      <c r="D21" s="1765" t="s">
        <v>1970</v>
      </c>
      <c r="E21" s="3192" t="s">
        <v>2009</v>
      </c>
      <c r="F21" s="3193"/>
      <c r="G21" s="3193"/>
      <c r="H21" s="3193"/>
      <c r="I21" s="3194"/>
      <c r="J21" s="1699"/>
      <c r="K21" s="1779"/>
      <c r="L21" s="1728"/>
      <c r="M21" s="1728"/>
      <c r="N21" s="1699"/>
      <c r="O21" s="1700"/>
      <c r="P21" s="1699"/>
      <c r="Q21" s="1699"/>
      <c r="R21" s="1699"/>
      <c r="S21" s="1699"/>
      <c r="T21" s="1699"/>
      <c r="U21" s="1699"/>
    </row>
    <row r="22" spans="1:21">
      <c r="A22" s="2673" t="s">
        <v>955</v>
      </c>
      <c r="B22" s="1666" t="s">
        <v>1971</v>
      </c>
      <c r="C22" s="1691">
        <f>'数据-汇总表'!D3</f>
        <v>102554.85</v>
      </c>
      <c r="D22" s="1692" t="s">
        <v>1970</v>
      </c>
      <c r="E22" s="3192" t="s">
        <v>2910</v>
      </c>
      <c r="F22" s="3193"/>
      <c r="G22" s="3193"/>
      <c r="H22" s="3193"/>
      <c r="I22" s="3194"/>
      <c r="J22" s="1699"/>
      <c r="K22" s="1779"/>
      <c r="L22" s="1728"/>
      <c r="M22" s="1728"/>
      <c r="N22" s="1699"/>
      <c r="O22" s="1700"/>
      <c r="P22" s="1699"/>
      <c r="Q22" s="1699"/>
      <c r="R22" s="1699"/>
      <c r="S22" s="1699"/>
      <c r="T22" s="1699"/>
      <c r="U22" s="1699"/>
    </row>
    <row r="23" spans="1:21" ht="43.5" thickBot="1">
      <c r="A23" s="1770" t="s">
        <v>1972</v>
      </c>
      <c r="B23" s="1706" t="s">
        <v>1973</v>
      </c>
      <c r="C23" s="1707"/>
      <c r="D23" s="1708" t="s">
        <v>1974</v>
      </c>
      <c r="E23" s="1709"/>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195" t="s">
        <v>1976</v>
      </c>
      <c r="C24" s="3196"/>
      <c r="D24" s="3197" t="s">
        <v>1977</v>
      </c>
      <c r="E24" s="3198"/>
      <c r="F24" s="1713" t="s">
        <v>1978</v>
      </c>
      <c r="G24" s="1699"/>
      <c r="H24" s="1699"/>
      <c r="I24" s="1712"/>
      <c r="J24" s="1699"/>
      <c r="K24" s="3183"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2337</v>
      </c>
      <c r="C25" s="1714" t="s">
        <v>1980</v>
      </c>
      <c r="D25" s="1715"/>
      <c r="E25" s="1716" t="s">
        <v>955</v>
      </c>
      <c r="F25" s="1717"/>
      <c r="G25" s="1699"/>
      <c r="H25" s="1699"/>
      <c r="I25" s="1712"/>
      <c r="J25" s="1699"/>
      <c r="K25" s="3183"/>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8"/>
      <c r="N25" s="1699"/>
      <c r="O25" s="1700"/>
      <c r="P25" s="1699"/>
      <c r="Q25" s="1699"/>
      <c r="R25" s="1699"/>
      <c r="S25" s="1699"/>
      <c r="T25" s="1699"/>
      <c r="U25" s="1699"/>
    </row>
    <row r="26" spans="1:21" ht="29.25" thickBot="1">
      <c r="A26" s="1757"/>
      <c r="B26" s="1754" t="s">
        <v>1981</v>
      </c>
      <c r="C26" s="1714" t="s">
        <v>2338</v>
      </c>
      <c r="D26" s="1665"/>
      <c r="E26" s="1665"/>
      <c r="F26" s="1693"/>
      <c r="G26" s="1699"/>
      <c r="H26" s="1699"/>
      <c r="I26" s="1712"/>
      <c r="J26" s="1699"/>
      <c r="K26" s="3183"/>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10" t="s">
        <v>2012</v>
      </c>
      <c r="B31" s="1769" t="s">
        <v>2013</v>
      </c>
      <c r="C31" s="3208"/>
      <c r="D31" s="3209"/>
      <c r="E31" s="1699"/>
      <c r="F31" s="1699"/>
      <c r="G31" s="1699"/>
      <c r="H31" s="1699"/>
      <c r="I31" s="1712"/>
      <c r="J31" s="1699"/>
      <c r="K31" s="2493"/>
      <c r="L31" s="1699"/>
      <c r="M31" s="1699"/>
      <c r="N31" s="1699"/>
      <c r="O31" s="1699"/>
      <c r="P31" s="1699"/>
      <c r="Q31" s="1699"/>
      <c r="R31" s="1699"/>
      <c r="S31" s="1699"/>
      <c r="T31" s="1699"/>
      <c r="U31" s="1699"/>
    </row>
    <row r="32" spans="1:21">
      <c r="A32" s="3210"/>
      <c r="B32" s="1666" t="s">
        <v>2014</v>
      </c>
      <c r="C32" s="1724"/>
      <c r="D32" s="1725"/>
      <c r="E32" s="1699"/>
      <c r="F32" s="1699"/>
      <c r="G32" s="1699"/>
      <c r="H32" s="1699"/>
      <c r="I32" s="1712"/>
      <c r="J32" s="1699"/>
      <c r="K32" s="2493"/>
      <c r="L32" s="1699"/>
      <c r="M32" s="1699"/>
      <c r="N32" s="1699"/>
      <c r="O32" s="1699"/>
      <c r="P32" s="1699"/>
      <c r="Q32" s="1699"/>
      <c r="R32" s="1699"/>
      <c r="S32" s="1699"/>
      <c r="T32" s="1699"/>
      <c r="U32" s="1699"/>
    </row>
    <row r="33" spans="1:21">
      <c r="A33" s="3210"/>
      <c r="B33" s="1666" t="s">
        <v>2015</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11"/>
      <c r="B34" s="1666" t="s">
        <v>2016</v>
      </c>
      <c r="C34" s="3212"/>
      <c r="D34" s="3213"/>
      <c r="E34" s="1699"/>
      <c r="F34" s="1699"/>
      <c r="G34" s="1699"/>
      <c r="H34" s="1699"/>
      <c r="I34" s="1712"/>
      <c r="J34" s="1699"/>
      <c r="K34" s="2493"/>
      <c r="L34" s="1699"/>
      <c r="M34" s="1699"/>
      <c r="N34" s="1699"/>
      <c r="O34" s="1699"/>
      <c r="P34" s="1699"/>
      <c r="Q34" s="1699"/>
      <c r="R34" s="1699"/>
      <c r="S34" s="1699"/>
      <c r="T34" s="1699"/>
      <c r="U34" s="1699"/>
    </row>
    <row r="35" spans="1:21">
      <c r="A35" s="3214" t="s">
        <v>850</v>
      </c>
      <c r="B35" s="1727"/>
      <c r="C35" s="1781" t="str">
        <f>IF(B35="场地平整","——","具体情况：")</f>
        <v>具体情况：</v>
      </c>
      <c r="D35" s="3216"/>
      <c r="E35" s="3217"/>
      <c r="F35" s="3217"/>
      <c r="G35" s="3217"/>
      <c r="H35" s="3217"/>
      <c r="I35" s="3218"/>
      <c r="J35" s="1699"/>
      <c r="K35" s="1780"/>
      <c r="L35" s="1728"/>
      <c r="M35" s="1728"/>
      <c r="N35" s="1699"/>
      <c r="O35" s="1700"/>
      <c r="P35" s="1699"/>
      <c r="Q35" s="1699"/>
      <c r="R35" s="1699"/>
      <c r="S35" s="1699"/>
      <c r="T35" s="1699"/>
      <c r="U35" s="1699"/>
    </row>
    <row r="36" spans="1:21">
      <c r="A36" s="3210"/>
      <c r="B36" s="3219" t="s">
        <v>2065</v>
      </c>
      <c r="C36" s="3220"/>
      <c r="D36" s="1797"/>
      <c r="E36" s="3221"/>
      <c r="F36" s="3221"/>
      <c r="G36" s="1692" t="str">
        <f>IF(B35="场地未平整","估价结果处理","")</f>
        <v/>
      </c>
      <c r="H36" s="3222"/>
      <c r="I36" s="3222"/>
      <c r="J36" s="1699"/>
      <c r="K36" s="1780"/>
      <c r="L36" s="1728"/>
      <c r="M36" s="1728"/>
      <c r="N36" s="1699"/>
      <c r="O36" s="1700"/>
      <c r="P36" s="1699"/>
      <c r="Q36" s="1699"/>
      <c r="R36" s="1699"/>
      <c r="S36" s="1699"/>
      <c r="T36" s="1699"/>
      <c r="U36" s="1699"/>
    </row>
    <row r="37" spans="1:21" ht="28.5">
      <c r="A37" s="3210"/>
      <c r="B37" s="3199"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10"/>
      <c r="B38" s="3200"/>
      <c r="C38" s="1674" t="s">
        <v>853</v>
      </c>
      <c r="D38" s="1796">
        <f>ROUNDDOWN(MIN(('数据-取费表'!$B$2-D37)/365,D34),1)</f>
        <v>117.5</v>
      </c>
      <c r="E38" s="1732" t="s">
        <v>854</v>
      </c>
      <c r="F38" s="1699"/>
      <c r="G38" s="1699"/>
      <c r="H38" s="1699"/>
      <c r="I38" s="1712"/>
      <c r="J38" s="1699"/>
      <c r="K38" s="1780"/>
      <c r="L38" s="1699"/>
      <c r="M38" s="1699"/>
      <c r="N38" s="1699"/>
      <c r="O38" s="1699"/>
      <c r="P38" s="1699"/>
      <c r="Q38" s="1699"/>
      <c r="R38" s="1699"/>
      <c r="S38" s="1699"/>
      <c r="T38" s="1699"/>
      <c r="U38" s="1699"/>
    </row>
    <row r="39" spans="1:21">
      <c r="A39" s="3211"/>
      <c r="B39" s="3201"/>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c r="C40" s="1695"/>
      <c r="D40" s="1695"/>
      <c r="E40" s="1695"/>
      <c r="F40" s="1695"/>
      <c r="G40" s="1695"/>
      <c r="H40" s="1695"/>
      <c r="I40" s="1712"/>
      <c r="J40" s="1699"/>
      <c r="K40" s="1735">
        <f>COUNTIF(B40:H40,"——")</f>
        <v>0</v>
      </c>
      <c r="L40" s="1704" t="s">
        <v>1988</v>
      </c>
      <c r="M40" s="1701" t="s">
        <v>1989</v>
      </c>
      <c r="N40" s="1701" t="s">
        <v>1990</v>
      </c>
      <c r="O40" s="1701" t="s">
        <v>1991</v>
      </c>
      <c r="P40" s="1701" t="s">
        <v>1992</v>
      </c>
      <c r="Q40" s="1701" t="s">
        <v>1993</v>
      </c>
      <c r="R40" s="1701" t="s">
        <v>1994</v>
      </c>
      <c r="S40" s="3182" t="s">
        <v>1995</v>
      </c>
      <c r="T40" s="1736" t="str">
        <f>NUMBERSTRING(7-K40,1)&amp;"通"</f>
        <v>七通</v>
      </c>
      <c r="U40" s="1699"/>
    </row>
    <row r="41" spans="1:21">
      <c r="A41" s="1668"/>
      <c r="B41" s="3215" t="s">
        <v>1725</v>
      </c>
      <c r="C41" s="3215"/>
      <c r="D41" s="3215"/>
      <c r="E41" s="3215"/>
      <c r="F41" s="1737">
        <f>C10</f>
        <v>0</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82"/>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2911</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2017</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2018</v>
      </c>
      <c r="B48" s="1691" t="s">
        <v>2019</v>
      </c>
      <c r="C48" s="1691" t="s">
        <v>2020</v>
      </c>
      <c r="D48" s="1691" t="s">
        <v>2021</v>
      </c>
      <c r="E48" s="1691" t="s">
        <v>2022</v>
      </c>
      <c r="F48" s="1691" t="s">
        <v>2023</v>
      </c>
      <c r="G48" s="1691" t="s">
        <v>2024</v>
      </c>
      <c r="H48" s="1691" t="s">
        <v>2025</v>
      </c>
      <c r="I48" s="1691" t="s">
        <v>2026</v>
      </c>
      <c r="J48" s="1777" t="s">
        <v>2027</v>
      </c>
      <c r="K48" s="1771" t="s">
        <v>2028</v>
      </c>
      <c r="L48" s="1771" t="s">
        <v>2029</v>
      </c>
      <c r="M48" s="1771" t="s">
        <v>2030</v>
      </c>
      <c r="N48" s="1691" t="s">
        <v>2031</v>
      </c>
      <c r="O48" s="1691" t="s">
        <v>2032</v>
      </c>
      <c r="P48" s="1691" t="s">
        <v>2033</v>
      </c>
      <c r="Q48" s="1704" t="s">
        <v>2034</v>
      </c>
      <c r="R48" s="1704" t="s">
        <v>2035</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2.62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2345</v>
      </c>
      <c r="BA2" s="2371" t="s">
        <v>2344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102554.85</v>
      </c>
      <c r="B3" s="22">
        <f>IF(C3="否",G5-AT5,G5)</f>
        <v>205109.7</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205109.7</v>
      </c>
      <c r="H5" s="27">
        <f t="shared" ref="H5:AT5" si="0">SUM(H13:H641)</f>
        <v>194854.22</v>
      </c>
      <c r="I5" s="27">
        <f t="shared" si="0"/>
        <v>194854.22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10255.48</v>
      </c>
      <c r="AD5" s="27">
        <f t="shared" si="0"/>
        <v>10255.48</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205109.7</v>
      </c>
      <c r="BA5" s="29">
        <f t="shared" si="1"/>
        <v>194854.22</v>
      </c>
      <c r="BB5" s="29">
        <f t="shared" si="1"/>
        <v>194854.22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10255.48</v>
      </c>
      <c r="BM5" s="29">
        <f t="shared" si="1"/>
        <v>10255.48</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102554.85</v>
      </c>
      <c r="F6" s="27" t="s">
        <v>1</v>
      </c>
      <c r="G6" s="27" t="s">
        <v>2</v>
      </c>
      <c r="H6" s="33">
        <f>SUMIF(I$12:AB$12,"总值",I6:AB6)</f>
        <v>97427.11</v>
      </c>
      <c r="I6" s="27">
        <f t="shared" ref="I6:AB6" si="2">ROUND($A$3*I5/$B$3,2)</f>
        <v>97427.11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5127.74</v>
      </c>
      <c r="AD6" s="27">
        <f t="shared" ref="AD6:AS6" si="3">ROUND($A$3*AD5/$B$3,2)</f>
        <v>5127.74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102554.85</v>
      </c>
      <c r="AZ6" s="27" t="s">
        <v>3</v>
      </c>
      <c r="BA6" s="27">
        <f>ROUND($AY$6*BA5/$AZ$5,2)</f>
        <v>97427.11</v>
      </c>
      <c r="BB6" s="27">
        <f>ROUND($AY$6*BB5/$AZ$5,2)</f>
        <v>97427.11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5127.74</v>
      </c>
      <c r="BM6" s="27">
        <f t="shared" si="5"/>
        <v>5127.74</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3095</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c r="J10" s="51"/>
      <c r="K10" s="3060"/>
      <c r="L10" s="51"/>
      <c r="M10" s="3060"/>
      <c r="N10" s="51"/>
      <c r="O10" s="66"/>
      <c r="P10" s="51"/>
      <c r="Q10" s="66"/>
      <c r="R10" s="51"/>
      <c r="S10" s="66"/>
      <c r="T10" s="51"/>
      <c r="U10" s="66"/>
      <c r="V10" s="51"/>
      <c r="W10" s="66"/>
      <c r="X10" s="51"/>
      <c r="Y10" s="66"/>
      <c r="Z10" s="51"/>
      <c r="AA10" s="66"/>
      <c r="AB10" s="51"/>
      <c r="AC10" s="55"/>
      <c r="AD10" s="2324" t="s">
        <v>2329</v>
      </c>
      <c r="AE10" s="2346"/>
      <c r="AF10" s="2324" t="s">
        <v>2329</v>
      </c>
      <c r="AG10" s="2346"/>
      <c r="AH10" s="2324" t="s">
        <v>2330</v>
      </c>
      <c r="AI10" s="2346"/>
      <c r="AJ10" s="26" t="s">
        <v>2343</v>
      </c>
      <c r="AK10" s="2343"/>
      <c r="AL10" s="2324" t="s">
        <v>2331</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3096</v>
      </c>
      <c r="J11" s="71"/>
      <c r="K11" s="3059"/>
      <c r="L11" s="71"/>
      <c r="M11" s="70"/>
      <c r="N11" s="71"/>
      <c r="O11" s="70"/>
      <c r="P11" s="71"/>
      <c r="Q11" s="70"/>
      <c r="R11" s="71"/>
      <c r="S11" s="70"/>
      <c r="T11" s="71"/>
      <c r="U11" s="70"/>
      <c r="V11" s="71"/>
      <c r="W11" s="70"/>
      <c r="X11" s="71"/>
      <c r="Y11" s="70"/>
      <c r="Z11" s="71"/>
      <c r="AA11" s="70"/>
      <c r="AB11" s="71"/>
      <c r="AC11" s="55"/>
      <c r="AD11" s="2344" t="s">
        <v>2342</v>
      </c>
      <c r="AE11" s="1005"/>
      <c r="AF11" s="2344" t="s">
        <v>2342</v>
      </c>
      <c r="AG11" s="1005"/>
      <c r="AH11" s="2344" t="s">
        <v>2341</v>
      </c>
      <c r="AI11" s="2345"/>
      <c r="AJ11" s="2344" t="s">
        <v>2341</v>
      </c>
      <c r="AK11" s="2343"/>
      <c r="AL11" s="1003"/>
      <c r="AM11" s="1005"/>
      <c r="AN11" s="1003"/>
      <c r="AO11" s="1005"/>
      <c r="AP11" s="1191"/>
      <c r="AQ11" s="1193"/>
      <c r="AR11" s="1191"/>
      <c r="AS11" s="1193"/>
      <c r="AT11" s="1006"/>
      <c r="AU11" s="45"/>
      <c r="AV11" s="55"/>
      <c r="AW11" s="1006"/>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102554.85</v>
      </c>
      <c r="F13" s="81"/>
      <c r="G13" s="82">
        <f t="shared" ref="G13:G20" si="7">H13+AC13+AT13</f>
        <v>205109.7</v>
      </c>
      <c r="H13" s="33">
        <f t="shared" ref="H13:H20" si="8">SUMIF(I$12:AB$12,"总值",I13:AB13)</f>
        <v>194854.22</v>
      </c>
      <c r="I13" s="3057">
        <f>ROUND(A3*2*0.95,2)</f>
        <v>194854.22</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10255.48</v>
      </c>
      <c r="AD13" s="3061">
        <f>ROUND(A3*2-I13,2)</f>
        <v>10255.48</v>
      </c>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102554.85</v>
      </c>
      <c r="AZ13" s="27">
        <f t="shared" ref="AZ13:AZ20" si="12">BA13+BL13</f>
        <v>205109.7</v>
      </c>
      <c r="BA13" s="27">
        <f t="shared" ref="BA13:BA20" si="13">SUM(BB13:BK13)</f>
        <v>194854.22</v>
      </c>
      <c r="BB13" s="27">
        <f t="shared" ref="BB13:BB20" si="14">IF($D13="是",I13-J13,0)</f>
        <v>194854.22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10255.48</v>
      </c>
      <c r="BM13" s="27">
        <f t="shared" ref="BM13:BM20" si="25">IF($D13="是",AD13-AE13,0)</f>
        <v>10255.48</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3" t="s">
        <v>0</v>
      </c>
      <c r="B1" s="3223" t="s">
        <v>4</v>
      </c>
      <c r="C1" s="3223" t="s">
        <v>5</v>
      </c>
      <c r="D1" s="3224" t="s">
        <v>40</v>
      </c>
      <c r="E1" s="3224" t="s">
        <v>41</v>
      </c>
      <c r="F1" s="3224"/>
      <c r="G1" s="3224"/>
      <c r="H1" s="3224"/>
      <c r="I1" s="3224"/>
      <c r="J1" s="3224"/>
      <c r="K1" s="3224"/>
      <c r="L1" s="3224"/>
      <c r="M1" s="3224"/>
    </row>
    <row r="2" spans="1:13" ht="27" customHeight="1">
      <c r="A2" s="3223"/>
      <c r="B2" s="3223"/>
      <c r="C2" s="3223"/>
      <c r="D2" s="3224"/>
      <c r="E2" s="3224" t="s">
        <v>24</v>
      </c>
      <c r="F2" s="3224" t="s">
        <v>25</v>
      </c>
      <c r="G2" s="3224"/>
      <c r="H2" s="3224"/>
      <c r="I2" s="3224"/>
      <c r="J2" s="3224" t="s">
        <v>26</v>
      </c>
      <c r="K2" s="3224"/>
      <c r="L2" s="3224"/>
      <c r="M2" s="3224"/>
    </row>
    <row r="3" spans="1:13" ht="28.5">
      <c r="A3" s="3223"/>
      <c r="B3" s="3223"/>
      <c r="C3" s="3223"/>
      <c r="D3" s="3224"/>
      <c r="E3" s="32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4" t="s">
        <v>42</v>
      </c>
      <c r="B9" s="3224"/>
      <c r="C9" s="32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4" t="s">
        <v>203</v>
      </c>
      <c r="B2" s="3234"/>
      <c r="C2" s="3234"/>
      <c r="D2" s="1981" t="s">
        <v>204</v>
      </c>
      <c r="E2" s="106" t="s">
        <v>205</v>
      </c>
      <c r="F2" s="1990"/>
      <c r="G2" s="1201"/>
      <c r="H2" s="1202"/>
      <c r="I2" s="1203" t="s">
        <v>860</v>
      </c>
      <c r="J2" s="1990"/>
      <c r="K2" s="1990"/>
      <c r="L2" s="1990"/>
    </row>
    <row r="3" spans="1:16" ht="15.75" thickBot="1">
      <c r="A3" s="3235" t="s">
        <v>206</v>
      </c>
      <c r="B3" s="3235"/>
      <c r="C3" s="3235"/>
      <c r="D3" s="107">
        <f>'数据-基础表'!AY6</f>
        <v>102554.85</v>
      </c>
      <c r="E3" s="107">
        <f>'数据-基础表'!AZ5</f>
        <v>205109.7</v>
      </c>
      <c r="F3" s="1990"/>
      <c r="G3" s="280" t="s">
        <v>861</v>
      </c>
      <c r="H3" s="275" t="s">
        <v>862</v>
      </c>
      <c r="I3" s="1982">
        <f>ROUND('数据-基础表'!B3/'数据-基础表'!A3,2)</f>
        <v>2</v>
      </c>
      <c r="J3" s="1990"/>
      <c r="K3" s="1990"/>
      <c r="L3" s="1990"/>
    </row>
    <row r="4" spans="1:16" ht="15">
      <c r="A4" s="3236"/>
      <c r="B4" s="3237"/>
      <c r="C4" s="3238"/>
      <c r="D4" s="108" t="s">
        <v>204</v>
      </c>
      <c r="E4" s="109" t="s">
        <v>205</v>
      </c>
      <c r="F4" s="1990"/>
      <c r="G4" s="1204"/>
      <c r="H4" s="275" t="s">
        <v>863</v>
      </c>
      <c r="I4" s="1982">
        <f>ROUND(SUMIF('数据-基础表'!I9:AS9,"地上",'数据-基础表'!I5:AS5)/'数据-基础表'!A3,2)</f>
        <v>2</v>
      </c>
      <c r="J4" s="1990"/>
      <c r="K4" s="1990"/>
      <c r="L4" s="1990"/>
    </row>
    <row r="5" spans="1:16">
      <c r="A5" s="110" t="s">
        <v>207</v>
      </c>
      <c r="B5" s="3239" t="s">
        <v>230</v>
      </c>
      <c r="C5" s="3239"/>
      <c r="D5" s="111">
        <f>ROUND($D$3*E5/$E$3,2)</f>
        <v>0</v>
      </c>
      <c r="E5" s="112">
        <f>SUMIF('数据-基础表'!$11:$11,"住宅",'数据-基础表'!$5:$5)</f>
        <v>0</v>
      </c>
      <c r="F5" s="1990"/>
      <c r="G5" s="280" t="s">
        <v>864</v>
      </c>
      <c r="H5" s="275" t="s">
        <v>862</v>
      </c>
      <c r="I5" s="1982">
        <f>ROUND(E31/D31,2)</f>
        <v>2</v>
      </c>
      <c r="J5" s="1990"/>
      <c r="K5" s="1990"/>
      <c r="L5" s="1990"/>
    </row>
    <row r="6" spans="1:16" ht="15" thickBot="1">
      <c r="A6" s="113"/>
      <c r="B6" s="3239" t="s">
        <v>208</v>
      </c>
      <c r="C6" s="3239"/>
      <c r="D6" s="111">
        <f>ROUND($D$3*E6/$E$3,2)</f>
        <v>102554.85</v>
      </c>
      <c r="E6" s="112">
        <f>E3-E5</f>
        <v>205109.7</v>
      </c>
      <c r="F6" s="1990"/>
      <c r="G6" s="1204"/>
      <c r="H6" s="275" t="s">
        <v>863</v>
      </c>
      <c r="I6" s="1982">
        <f>ROUND(F31/D31,2)</f>
        <v>2</v>
      </c>
      <c r="J6" s="1990"/>
      <c r="K6" s="1990"/>
      <c r="L6" s="1990"/>
    </row>
    <row r="7" spans="1:16" ht="15">
      <c r="A7" s="3231"/>
      <c r="B7" s="3232"/>
      <c r="C7" s="3233"/>
      <c r="D7" s="108" t="s">
        <v>204</v>
      </c>
      <c r="E7" s="114" t="s">
        <v>231</v>
      </c>
      <c r="F7" s="1990"/>
      <c r="G7" s="1159" t="s">
        <v>1649</v>
      </c>
      <c r="H7" s="1160"/>
      <c r="I7" s="1852"/>
      <c r="J7" s="1990"/>
      <c r="K7" s="1990"/>
      <c r="L7" s="1990"/>
    </row>
    <row r="8" spans="1:16">
      <c r="A8" s="110" t="s">
        <v>209</v>
      </c>
      <c r="B8" s="115" t="s">
        <v>210</v>
      </c>
      <c r="C8" s="111" t="s">
        <v>211</v>
      </c>
      <c r="D8" s="111">
        <f t="shared" ref="D8:D15" si="0">ROUND($D$3*E8/$E$3,2)</f>
        <v>97427.11</v>
      </c>
      <c r="E8" s="116">
        <f>SUMIF('数据-基础表'!BB10:BK10,"地上",'数据-基础表'!BB5:BK5)</f>
        <v>194854.22</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2339</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2346</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97427.11</v>
      </c>
      <c r="E16" s="120">
        <f>SUM(E8:E15)</f>
        <v>194854.22</v>
      </c>
      <c r="F16" s="1990"/>
      <c r="G16" s="1992"/>
      <c r="H16" s="971" t="s">
        <v>219</v>
      </c>
      <c r="I16" s="972"/>
      <c r="J16" s="1990"/>
      <c r="K16" s="3225" t="s">
        <v>2581</v>
      </c>
      <c r="L16" s="3226"/>
      <c r="M16" s="3226"/>
      <c r="N16" s="3226"/>
      <c r="O16" s="3226"/>
      <c r="P16" s="3227"/>
    </row>
    <row r="17" spans="1:19" ht="15">
      <c r="A17" s="121" t="s">
        <v>216</v>
      </c>
      <c r="B17" s="122" t="s">
        <v>217</v>
      </c>
      <c r="C17" s="2308" t="s">
        <v>2325</v>
      </c>
      <c r="D17" s="108" t="s">
        <v>204</v>
      </c>
      <c r="E17" s="124" t="s">
        <v>205</v>
      </c>
      <c r="F17" s="125"/>
      <c r="G17" s="1370"/>
      <c r="H17" s="973" t="s">
        <v>218</v>
      </c>
      <c r="I17" s="974" t="s">
        <v>2324</v>
      </c>
      <c r="J17" s="1990"/>
      <c r="K17" s="3228" t="s">
        <v>2582</v>
      </c>
      <c r="L17" s="3229"/>
      <c r="M17" s="3230"/>
      <c r="N17" s="3228" t="s">
        <v>2583</v>
      </c>
      <c r="O17" s="3229"/>
      <c r="P17" s="3230"/>
      <c r="R17" s="2309" t="s">
        <v>2323</v>
      </c>
      <c r="S17" s="144"/>
    </row>
    <row r="18" spans="1:19" ht="15">
      <c r="A18" s="117"/>
      <c r="B18" s="128"/>
      <c r="C18" s="129"/>
      <c r="D18" s="2678"/>
      <c r="E18" s="130" t="s">
        <v>220</v>
      </c>
      <c r="F18" s="131" t="s">
        <v>221</v>
      </c>
      <c r="G18" s="1371" t="s">
        <v>222</v>
      </c>
      <c r="H18" s="975" t="s">
        <v>223</v>
      </c>
      <c r="I18" s="976" t="s">
        <v>224</v>
      </c>
      <c r="J18" s="1990"/>
      <c r="K18" s="2640" t="s">
        <v>2584</v>
      </c>
      <c r="L18" s="2641" t="s">
        <v>2585</v>
      </c>
      <c r="M18" s="2642" t="s">
        <v>2586</v>
      </c>
      <c r="N18" s="2640" t="s">
        <v>2584</v>
      </c>
      <c r="O18" s="2641" t="s">
        <v>2585</v>
      </c>
      <c r="P18" s="2642" t="s">
        <v>2586</v>
      </c>
      <c r="R18" s="2310" t="s">
        <v>2321</v>
      </c>
      <c r="S18" s="2310" t="s">
        <v>2322</v>
      </c>
    </row>
    <row r="19" spans="1:19">
      <c r="A19" s="133"/>
      <c r="B19" s="115" t="s">
        <v>225</v>
      </c>
      <c r="C19" s="3064" t="s">
        <v>3097</v>
      </c>
      <c r="D19" s="111">
        <f t="shared" ref="D19:D26" si="1">ROUND($D$3*E19/$E$3,2)</f>
        <v>97427.11</v>
      </c>
      <c r="E19" s="134">
        <f t="shared" ref="E19:E26" si="2">SUM(F19:G19)</f>
        <v>194854.22</v>
      </c>
      <c r="F19" s="135">
        <f>'数据-基础表'!I13</f>
        <v>194854.22</v>
      </c>
      <c r="G19" s="1372"/>
      <c r="H19" s="977">
        <f>ROUND($D$3*I19/$E$3,2)</f>
        <v>5127.74</v>
      </c>
      <c r="I19" s="116">
        <f>IF($I$17="自定义",P19,M19)</f>
        <v>10255.48</v>
      </c>
      <c r="J19" s="1990"/>
      <c r="K19" s="2643">
        <f t="shared" ref="K19:K26" si="3">ROUND(E$28*E19/E$27,2)</f>
        <v>0</v>
      </c>
      <c r="L19" s="275">
        <f t="shared" ref="L19:L26" si="4">ROUND(IF(COUNTIF(C19,"*住宅*")&gt;0,E$29*E19/E$32,0),2)</f>
        <v>10255.48</v>
      </c>
      <c r="M19" s="2644">
        <f>K19+L19</f>
        <v>10255.48</v>
      </c>
      <c r="N19" s="2645"/>
      <c r="O19" s="2646"/>
      <c r="P19" s="2647">
        <f>N19+O19</f>
        <v>0</v>
      </c>
      <c r="R19" s="275">
        <f t="shared" ref="R19:S26" si="5">D19+H19</f>
        <v>102554.85</v>
      </c>
      <c r="S19" s="2311">
        <f t="shared" si="5"/>
        <v>205109.7</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97427.11</v>
      </c>
      <c r="E27" s="143">
        <f>IF(SUM(E19:E26)='数据-基础表'!BA5,SUM(E19:E26),IF(F27="地上面积有误","面积有误","地下面积有误"))</f>
        <v>194854.22</v>
      </c>
      <c r="F27" s="134">
        <f>IF(SUM(F19:F26)=E8,SUM(F19:F26),"地上面积有误")</f>
        <v>194854.22</v>
      </c>
      <c r="G27" s="112">
        <f>SUM(G19:G26)</f>
        <v>0</v>
      </c>
      <c r="H27" s="978">
        <f>SUM(H19:H26)</f>
        <v>5127.74</v>
      </c>
      <c r="I27" s="979">
        <f>SUM(I19:I26)</f>
        <v>10255.48</v>
      </c>
      <c r="J27" s="1990"/>
      <c r="K27" s="2652">
        <f>SUM(K19:K26)</f>
        <v>0</v>
      </c>
      <c r="L27" s="2653">
        <f>SUM(L19:L26)</f>
        <v>10255.48</v>
      </c>
      <c r="M27" s="2654">
        <f>SUM(M19:M26)</f>
        <v>10255.48</v>
      </c>
      <c r="N27" s="2652">
        <f t="shared" ref="N27:O27" si="10">SUM(N19:N26)</f>
        <v>0</v>
      </c>
      <c r="O27" s="2653">
        <f t="shared" si="10"/>
        <v>0</v>
      </c>
      <c r="P27" s="2655">
        <f>SUM(P19:P26)</f>
        <v>0</v>
      </c>
      <c r="R27" s="2315">
        <f>IF(SUM(R19:R26)=$D$3,SUM(R19:R26),SUM(R19:R26)&amp;"误差"&amp;ROUND(SUM(R19:R26)-$D$3,2))</f>
        <v>102554.85</v>
      </c>
      <c r="S27" s="275">
        <f>IF(SUM(S19:S26)=$E$3,SUM(S19:S26),SUM(S19:S26)&amp;"误差"&amp;ROUND(SUM(S19:S26)-E3,2))</f>
        <v>205109.7</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2332</v>
      </c>
      <c r="D29" s="111">
        <f>ROUND($D$3*E29/$E$3,2)</f>
        <v>5127.74</v>
      </c>
      <c r="E29" s="134">
        <f>SUM(F29:G29)</f>
        <v>10255.48</v>
      </c>
      <c r="F29" s="144">
        <f>'数据-基础表'!BM5+'数据-基础表'!BO5</f>
        <v>10255.48</v>
      </c>
      <c r="G29" s="146">
        <f>'数据-基础表'!BN5+'数据-基础表'!BP5</f>
        <v>0</v>
      </c>
      <c r="H29" s="1990"/>
      <c r="I29" s="1990"/>
      <c r="J29" s="1990"/>
      <c r="K29" s="1990"/>
      <c r="L29" s="1990"/>
    </row>
    <row r="30" spans="1:19">
      <c r="A30" s="138"/>
      <c r="B30" s="111"/>
      <c r="C30" s="147" t="s">
        <v>215</v>
      </c>
      <c r="D30" s="134">
        <f>SUM(D28:D29)</f>
        <v>5127.74</v>
      </c>
      <c r="E30" s="134">
        <f>SUM(E28:E29)</f>
        <v>10255.48</v>
      </c>
      <c r="F30" s="134">
        <f>SUM(F28:F29)</f>
        <v>10255.48</v>
      </c>
      <c r="G30" s="112">
        <f>SUM(G28:G29)</f>
        <v>0</v>
      </c>
      <c r="H30" s="1990"/>
      <c r="I30" s="1990"/>
      <c r="J30" s="1990"/>
      <c r="K30" s="1990"/>
      <c r="L30" s="1990"/>
    </row>
    <row r="31" spans="1:19" ht="32.25" customHeight="1" thickBot="1">
      <c r="A31" s="1374"/>
      <c r="B31" s="1375" t="s">
        <v>229</v>
      </c>
      <c r="C31" s="2340" t="s">
        <v>2334</v>
      </c>
      <c r="D31" s="1376">
        <f>D27+D30</f>
        <v>102554.85</v>
      </c>
      <c r="E31" s="1376">
        <f>E27+E30</f>
        <v>205109.7</v>
      </c>
      <c r="F31" s="1377">
        <f>F27+F30</f>
        <v>205109.7</v>
      </c>
      <c r="G31" s="1378">
        <f>G27+G30</f>
        <v>0</v>
      </c>
      <c r="H31" s="1990"/>
      <c r="I31" s="1990"/>
      <c r="J31" s="1990"/>
      <c r="K31" s="1990"/>
      <c r="L31" s="1990"/>
    </row>
    <row r="32" spans="1:19">
      <c r="A32" s="1990"/>
      <c r="B32" s="2373" t="s">
        <v>2333</v>
      </c>
      <c r="C32" s="2683"/>
      <c r="D32" s="1204"/>
      <c r="E32" s="1204">
        <f>SUMIF(C19:C26,"*住宅*",E19:E26)</f>
        <v>194854.22</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42923</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2336</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2846</v>
      </c>
      <c r="O5" s="163" t="s">
        <v>246</v>
      </c>
      <c r="P5" s="165" t="s">
        <v>247</v>
      </c>
      <c r="Q5" s="166" t="s">
        <v>248</v>
      </c>
      <c r="R5" s="167" t="s">
        <v>249</v>
      </c>
      <c r="S5" s="2656" t="s">
        <v>2587</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2335</v>
      </c>
      <c r="AI5" s="171" t="s">
        <v>2303</v>
      </c>
      <c r="AJ5" s="171" t="s">
        <v>258</v>
      </c>
      <c r="AK5" s="159" t="s">
        <v>259</v>
      </c>
      <c r="AL5" s="159" t="s">
        <v>260</v>
      </c>
      <c r="AM5" s="172" t="s">
        <v>261</v>
      </c>
      <c r="AN5" s="2426" t="s">
        <v>2386</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住宅</v>
      </c>
      <c r="B6" s="2347" t="str">
        <f>IF(A6=0,"","经营性")</f>
        <v>经营性</v>
      </c>
      <c r="C6" s="173" t="s">
        <v>926</v>
      </c>
      <c r="D6" s="2318">
        <f>SUMIF(项目基本情况!D$15:I$15,C6,项目基本情况!D$18:I$18)</f>
        <v>70</v>
      </c>
      <c r="E6" s="2319">
        <f>IF(B6="","",SUMIF(项目基本情况!D$15:I$15,C6,项目基本情况!D$17:I$17))</f>
        <v>68452</v>
      </c>
      <c r="F6" s="174">
        <f>SUMIF(项目基本情况!D$15:I$15,C6,项目基本情况!D$19:I$19)</f>
        <v>69.94</v>
      </c>
      <c r="G6" s="175">
        <f>IF(ISERROR(ROUND(POWER(1+H6,D6-F6)*(POWER(1+H6,F6)-1)/(POWER(1+H6,D6)-1),3)),0,ROUND(POWER(1+H6,D6-F6)*(POWER(1+H6,F6)-1)/(POWER(1+H6,D6)-1),3))</f>
        <v>1</v>
      </c>
      <c r="H6" s="3065">
        <v>0.04</v>
      </c>
      <c r="I6" s="3065">
        <v>4.4999999999999998E-2</v>
      </c>
      <c r="J6" s="176">
        <v>0.08</v>
      </c>
      <c r="K6" s="179">
        <f>SUMIF('数据-汇总表'!C$19:C$33,'数据-取费表'!A6,'数据-汇总表'!E$19:E$33)</f>
        <v>194854.22</v>
      </c>
      <c r="L6" s="3066">
        <v>2500</v>
      </c>
      <c r="M6" s="177">
        <f t="shared" ref="M6:M14" si="0">ROUND(K6*L6/10000,0)</f>
        <v>48714</v>
      </c>
      <c r="N6" s="3067">
        <v>0</v>
      </c>
      <c r="O6" s="177">
        <f>IF($N$5="成新度","——",ROUND(M6*N6,0))</f>
        <v>0</v>
      </c>
      <c r="P6" s="178">
        <f>IF($N$5="成新度","——",M6-O6)</f>
        <v>48714</v>
      </c>
      <c r="Q6" s="3068">
        <v>0.2</v>
      </c>
      <c r="R6" s="179">
        <f>SUMIF('数据-汇总表'!C$19:C$33,A6,'数据-汇总表'!R$19:R$33)</f>
        <v>102554.85</v>
      </c>
      <c r="S6" s="132">
        <f>IF('数据-汇总表'!$I$17="按面积比例",SUMIF('数据-汇总表'!C$19:C$33,A6,'数据-汇总表'!K$19:K$33),SUMIF('数据-汇总表'!C$19:C$33,A6,'数据-汇总表'!N$19:N$33))</f>
        <v>0</v>
      </c>
      <c r="T6" s="2244" t="str">
        <f>IF($T$4="按面积比例",IF(ISERROR(ROUND($M$14*S6/S$16,0)),"0",ROUND($M$14*S6/S$16,0)),"需自行计算录入")</f>
        <v>0</v>
      </c>
      <c r="U6" s="180"/>
      <c r="V6" s="181"/>
      <c r="W6" s="181"/>
      <c r="X6" s="2331"/>
      <c r="Y6" s="182"/>
      <c r="Z6" s="183"/>
      <c r="AA6" s="176"/>
      <c r="AB6" s="176"/>
      <c r="AC6" s="2334"/>
      <c r="AD6" s="184"/>
      <c r="AE6" s="975">
        <f ca="1">IF(AN6="",0,SUMIF(INDIRECT("'"&amp;AN6&amp;"'"&amp;"!E:E"),$AE$5,INDIRECT("'"&amp;AN6&amp;"'"&amp;"!F:F")))</f>
        <v>0</v>
      </c>
      <c r="AF6" s="141"/>
      <c r="AG6" s="1216">
        <f>IF(AF6="",0,AE6-AF6)</f>
        <v>0</v>
      </c>
      <c r="AH6" s="141"/>
      <c r="AI6" s="187"/>
      <c r="AJ6" s="188"/>
      <c r="AK6" s="189"/>
      <c r="AL6" s="190"/>
      <c r="AM6" s="3079"/>
      <c r="AN6" s="2427"/>
      <c r="AO6" s="2006"/>
      <c r="AP6" s="1207">
        <f>ROUND(1-1/(1+H6)^F6,3)</f>
        <v>0.93600000000000005</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2326</v>
      </c>
      <c r="B14" s="2316" t="s">
        <v>1683</v>
      </c>
      <c r="C14" s="2317" t="s">
        <v>2326</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2328</v>
      </c>
      <c r="B15" s="2316" t="s">
        <v>1683</v>
      </c>
      <c r="C15" s="2317" t="s">
        <v>2327</v>
      </c>
      <c r="D15" s="2318"/>
      <c r="E15" s="2319"/>
      <c r="F15" s="174"/>
      <c r="G15" s="175"/>
      <c r="H15" s="2320"/>
      <c r="I15" s="2320"/>
      <c r="J15" s="2320"/>
      <c r="K15" s="179">
        <f>SUMIF('数据-汇总表'!C$19:C$33,'数据-取费表'!A15,'数据-汇总表'!E$19:E$33)</f>
        <v>10255.48</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205109.7</v>
      </c>
      <c r="L16" s="206">
        <f>ROUND(M16*10000/SUM(K6:K14),0)</f>
        <v>2500</v>
      </c>
      <c r="M16" s="206">
        <f>SUM(M6:M14)</f>
        <v>48714</v>
      </c>
      <c r="N16" s="207">
        <f>ROUND(SUMPRODUCT(M6:M14,N6:N14)/M16,3)</f>
        <v>0</v>
      </c>
      <c r="O16" s="206">
        <f>SUM(O6:O14)</f>
        <v>0</v>
      </c>
      <c r="P16" s="206">
        <f>SUM(P6:P14)</f>
        <v>48714</v>
      </c>
      <c r="Q16" s="208">
        <f>ROUND(SUMPRODUCT(Q6:Q13,K6:K13)/SUMPRODUCT((Q6:Q13&gt;0)*(K6:K13)),2)</f>
        <v>0.2</v>
      </c>
      <c r="R16" s="2321">
        <f>SUM(R6:R13)</f>
        <v>102554.85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0.93600000000000005</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0.5</v>
      </c>
      <c r="C19" s="2374" t="s">
        <v>2348</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3</v>
      </c>
      <c r="C20" s="2374" t="s">
        <v>2347</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3.5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0.5</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3</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2350</v>
      </c>
      <c r="B27" s="227"/>
      <c r="C27" s="2377" t="s">
        <v>2354</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2351</v>
      </c>
      <c r="B28" s="229"/>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2349</v>
      </c>
      <c r="B29" s="232"/>
      <c r="C29" s="1558" t="s">
        <v>2352</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170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20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150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0.05</v>
      </c>
      <c r="C33" s="2375" t="s">
        <v>2912</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0.1</v>
      </c>
      <c r="C34" s="2375" t="s">
        <v>2913</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150</v>
      </c>
      <c r="C35" s="2375" t="s">
        <v>2914</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2915</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2916</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2916</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2470</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2471</v>
      </c>
      <c r="B40" s="2516">
        <f ca="1">存贷款利率!E2</f>
        <v>4.7500000000000001E-2</v>
      </c>
      <c r="C40" s="2375" t="s">
        <v>2353</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40">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2917</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2918</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2919</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c r="C47" s="3114" t="s">
        <v>2920</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2921</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2922</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1413</v>
      </c>
      <c r="C53" s="3116" t="s">
        <v>2923</v>
      </c>
      <c r="D53" s="3117" t="s">
        <v>2924</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2925</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2926</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2927</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2928</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2929</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2930</v>
      </c>
      <c r="B59" s="186">
        <v>1.5</v>
      </c>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2931</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2932</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2933</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2934</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0" t="s">
        <v>1667</v>
      </c>
      <c r="B1" s="3241"/>
      <c r="C1" s="3241"/>
      <c r="D1" s="3241"/>
      <c r="E1" s="3241"/>
      <c r="F1" s="3241"/>
      <c r="G1" s="3241"/>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2941</v>
      </c>
      <c r="D3" s="2015"/>
      <c r="E3" s="1232" t="s">
        <v>1670</v>
      </c>
      <c r="F3" s="1233" t="s">
        <v>1658</v>
      </c>
      <c r="G3" s="3125" t="s">
        <v>2940</v>
      </c>
      <c r="H3" s="2014"/>
      <c r="I3" s="2014"/>
      <c r="J3" s="2014"/>
      <c r="K3" s="2014"/>
      <c r="L3" s="2014"/>
      <c r="M3" s="2014"/>
      <c r="N3" s="2014"/>
      <c r="O3" s="2014"/>
      <c r="P3" s="2014"/>
      <c r="Q3" s="2014"/>
      <c r="R3" s="2014"/>
    </row>
    <row r="4" spans="1:18" ht="41.25">
      <c r="A4" s="1232"/>
      <c r="B4" s="1234" t="s">
        <v>1671</v>
      </c>
      <c r="C4" s="3122" t="s">
        <v>2942</v>
      </c>
      <c r="D4" s="2015"/>
      <c r="E4" s="1235"/>
      <c r="F4" s="1236" t="s">
        <v>1672</v>
      </c>
      <c r="G4" s="3123" t="s">
        <v>2937</v>
      </c>
      <c r="H4" s="2014"/>
      <c r="I4" s="2014"/>
      <c r="J4" s="2014"/>
      <c r="K4" s="2014"/>
      <c r="L4" s="2014"/>
      <c r="M4" s="2014"/>
      <c r="N4" s="2014"/>
      <c r="O4" s="2014"/>
      <c r="P4" s="2014"/>
      <c r="Q4" s="2014"/>
      <c r="R4" s="2014"/>
    </row>
    <row r="5" spans="1:18" ht="41.25">
      <c r="A5" s="1232"/>
      <c r="B5" s="1234" t="s">
        <v>1673</v>
      </c>
      <c r="C5" s="3122" t="s">
        <v>2943</v>
      </c>
      <c r="D5" s="2015"/>
      <c r="E5" s="1235"/>
      <c r="F5" s="1234" t="s">
        <v>2561</v>
      </c>
      <c r="G5" s="3123" t="s">
        <v>2938</v>
      </c>
      <c r="H5" s="2014"/>
      <c r="I5" s="2014"/>
      <c r="J5" s="2014"/>
      <c r="K5" s="2014"/>
      <c r="L5" s="2014"/>
      <c r="M5" s="2014"/>
      <c r="N5" s="2014"/>
      <c r="O5" s="2014"/>
      <c r="P5" s="2014"/>
      <c r="Q5" s="2014"/>
      <c r="R5" s="2014"/>
    </row>
    <row r="6" spans="1:18" ht="54">
      <c r="A6" s="1232"/>
      <c r="B6" s="1234" t="s">
        <v>1659</v>
      </c>
      <c r="C6" s="3123" t="s">
        <v>2937</v>
      </c>
      <c r="D6" s="2015"/>
      <c r="E6" s="1235"/>
      <c r="F6" s="1234" t="s">
        <v>2562</v>
      </c>
      <c r="G6" s="3123" t="s">
        <v>2935</v>
      </c>
      <c r="H6" s="2014"/>
      <c r="I6" s="2014"/>
      <c r="J6" s="2014"/>
      <c r="K6" s="2014"/>
      <c r="L6" s="2014"/>
      <c r="M6" s="2014"/>
      <c r="N6" s="2014"/>
      <c r="O6" s="2014"/>
      <c r="P6" s="2014"/>
      <c r="Q6" s="2014"/>
      <c r="R6" s="2014"/>
    </row>
    <row r="7" spans="1:18" ht="41.25" thickBot="1">
      <c r="A7" s="1232"/>
      <c r="B7" s="1234" t="s">
        <v>2561</v>
      </c>
      <c r="C7" s="3123" t="s">
        <v>2938</v>
      </c>
      <c r="D7" s="2016"/>
      <c r="E7" s="1237"/>
      <c r="F7" s="1238" t="s">
        <v>1674</v>
      </c>
      <c r="G7" s="3126" t="s">
        <v>2939</v>
      </c>
      <c r="H7" s="2014"/>
      <c r="I7" s="2014"/>
      <c r="J7" s="2014"/>
      <c r="K7" s="2014"/>
      <c r="L7" s="2014"/>
      <c r="M7" s="2014"/>
      <c r="N7" s="2014"/>
      <c r="O7" s="2014"/>
      <c r="P7" s="2014"/>
      <c r="Q7" s="2014"/>
      <c r="R7" s="2014"/>
    </row>
    <row r="8" spans="1:18" ht="27">
      <c r="A8" s="1232"/>
      <c r="B8" s="1234" t="s">
        <v>2562</v>
      </c>
      <c r="C8" s="3123" t="s">
        <v>2935</v>
      </c>
      <c r="D8" s="2016"/>
      <c r="E8" s="2016"/>
      <c r="F8" s="1559"/>
      <c r="G8" s="1559"/>
      <c r="H8" s="2014"/>
      <c r="I8" s="2014"/>
      <c r="J8" s="2014"/>
      <c r="K8" s="2014"/>
      <c r="L8" s="2014"/>
      <c r="M8" s="2014"/>
      <c r="N8" s="2014"/>
      <c r="O8" s="2014"/>
      <c r="P8" s="2014"/>
      <c r="Q8" s="2014"/>
      <c r="R8" s="2014"/>
    </row>
    <row r="9" spans="1:18" ht="40.5">
      <c r="A9" s="1232"/>
      <c r="B9" s="1234" t="s">
        <v>1660</v>
      </c>
      <c r="C9" s="3122" t="s">
        <v>2936</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估价对象位于XX开发区，园区建设成熟度XX，产业集聚程度XX</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该园区内是否有污染型企业，绿化情况，卫生条件，整体环境状况判断</v>
      </c>
    </row>
    <row r="19" spans="1:7" ht="27">
      <c r="A19" s="2624"/>
      <c r="B19" s="1250" t="s">
        <v>1663</v>
      </c>
      <c r="C19" s="2833"/>
      <c r="D19" s="2015"/>
      <c r="E19" s="2621"/>
      <c r="F19" s="1234" t="s">
        <v>2561</v>
      </c>
      <c r="G19" s="1008" t="str">
        <f>G5</f>
        <v>估价对象所在区域公共配套设施齐备情况</v>
      </c>
    </row>
    <row r="20" spans="1:7" ht="40.5">
      <c r="A20" s="2624"/>
      <c r="B20" s="1250" t="s">
        <v>1664</v>
      </c>
      <c r="C20" s="1249" t="str">
        <f>C9</f>
        <v>区域自然环境：；人文环境；综合评价环境状况一般</v>
      </c>
      <c r="D20" s="2016"/>
      <c r="E20" s="2621"/>
      <c r="F20" s="1234" t="s">
        <v>2562</v>
      </c>
      <c r="G20" s="1008" t="str">
        <f>G6</f>
        <v>估价对象所在区域基础设施水平</v>
      </c>
    </row>
    <row r="21" spans="1:7" ht="27">
      <c r="A21" s="2624"/>
      <c r="B21" s="1234" t="s">
        <v>2561</v>
      </c>
      <c r="C21" s="1008" t="str">
        <f>C7</f>
        <v>估价对象所在区域公共配套设施齐备情况</v>
      </c>
      <c r="D21" s="2015"/>
      <c r="E21" s="2621"/>
      <c r="F21" s="1250" t="s">
        <v>1665</v>
      </c>
      <c r="G21" s="3127"/>
    </row>
    <row r="22" spans="1:7" ht="27">
      <c r="A22" s="2624"/>
      <c r="B22" s="1234" t="s">
        <v>2562</v>
      </c>
      <c r="C22" s="1008" t="str">
        <f>C8</f>
        <v>估价对象所在区域基础设施水平</v>
      </c>
      <c r="D22" s="2015"/>
      <c r="E22" s="2621"/>
      <c r="F22" s="1250" t="s">
        <v>1675</v>
      </c>
      <c r="G22" s="2833"/>
    </row>
    <row r="23" spans="1:7" ht="15" thickBot="1">
      <c r="A23" s="2624"/>
      <c r="B23" s="1250" t="s">
        <v>1665</v>
      </c>
      <c r="C23" s="3127"/>
      <c r="E23" s="2622"/>
      <c r="F23" s="1251" t="s">
        <v>1679</v>
      </c>
      <c r="G23" s="3128"/>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9" sqref="E29"/>
    </sheetView>
  </sheetViews>
  <sheetFormatPr defaultColWidth="14.625" defaultRowHeight="13.5"/>
  <cols>
    <col min="1" max="1" width="24.375" customWidth="1"/>
  </cols>
  <sheetData>
    <row r="1" spans="1:9" ht="16.5">
      <c r="A1" s="3085" t="s">
        <v>2862</v>
      </c>
      <c r="B1" s="3085">
        <f>SUM(B14:B23)</f>
        <v>205109.7</v>
      </c>
      <c r="C1" s="3086"/>
      <c r="D1" s="3086"/>
      <c r="E1" s="3086"/>
      <c r="F1" s="3086"/>
    </row>
    <row r="2" spans="1:9" ht="16.5">
      <c r="A2" s="3085" t="s">
        <v>2863</v>
      </c>
      <c r="B2" s="3085">
        <f>SUM(C14:C23)</f>
        <v>102554.85</v>
      </c>
      <c r="C2" s="3086"/>
      <c r="D2" s="3086"/>
      <c r="E2" s="3086"/>
      <c r="F2" s="3086"/>
    </row>
    <row r="3" spans="1:9" ht="16.5">
      <c r="A3" s="3085" t="s">
        <v>2864</v>
      </c>
      <c r="B3" s="3087">
        <f>项目基本情况!D3</f>
        <v>42923</v>
      </c>
      <c r="C3" s="3086"/>
      <c r="D3" s="3086"/>
      <c r="E3" s="3086"/>
      <c r="F3" s="3086"/>
    </row>
    <row r="4" spans="1:9" ht="33">
      <c r="A4" s="3085" t="s">
        <v>2865</v>
      </c>
      <c r="B4" s="3085" t="s">
        <v>2866</v>
      </c>
      <c r="C4" s="3085" t="s">
        <v>2867</v>
      </c>
      <c r="D4" s="3085" t="s">
        <v>2868</v>
      </c>
      <c r="E4" s="3086"/>
      <c r="F4" s="3086"/>
    </row>
    <row r="5" spans="1:9" ht="16.5">
      <c r="A5" s="3085" t="s">
        <v>2869</v>
      </c>
      <c r="B5" s="3085">
        <f ca="1">SUM(D14:D23)</f>
        <v>11614</v>
      </c>
      <c r="C5" s="3085">
        <f ca="1">ROUND(B5*10000/$B$1,0)</f>
        <v>566</v>
      </c>
      <c r="D5" s="3085">
        <f ca="1">ROUND(B5*10000/$B$2,0)</f>
        <v>1132</v>
      </c>
      <c r="E5" s="3086"/>
      <c r="F5" s="3086"/>
    </row>
    <row r="6" spans="1:9" ht="16.5">
      <c r="A6" s="3085" t="s">
        <v>2870</v>
      </c>
      <c r="B6" s="3085">
        <f>SUM(G14:G23)</f>
        <v>0</v>
      </c>
      <c r="C6" s="3085">
        <f t="shared" ref="C6:C8" si="0">ROUND(B6*10000/$B$1,0)</f>
        <v>0</v>
      </c>
      <c r="D6" s="3085">
        <f t="shared" ref="D6:D8" si="1">ROUND(B6*10000/$B$2,0)</f>
        <v>0</v>
      </c>
      <c r="E6" s="3086"/>
      <c r="F6" s="3086"/>
    </row>
    <row r="7" spans="1:9" ht="16.5">
      <c r="A7" s="3085" t="s">
        <v>2871</v>
      </c>
      <c r="B7" s="3085">
        <f>SUM(H14:H23)</f>
        <v>0</v>
      </c>
      <c r="C7" s="3085">
        <f t="shared" si="0"/>
        <v>0</v>
      </c>
      <c r="D7" s="3085">
        <f t="shared" si="1"/>
        <v>0</v>
      </c>
      <c r="E7" s="3086"/>
      <c r="F7" s="3086"/>
    </row>
    <row r="8" spans="1:9" ht="16.5">
      <c r="A8" s="3085" t="s">
        <v>2872</v>
      </c>
      <c r="B8" s="3085">
        <f>SUM(I14:I23)</f>
        <v>0</v>
      </c>
      <c r="C8" s="3085">
        <f t="shared" si="0"/>
        <v>0</v>
      </c>
      <c r="D8" s="3085">
        <f t="shared" si="1"/>
        <v>0</v>
      </c>
      <c r="E8" s="3086"/>
      <c r="F8" s="3086"/>
    </row>
    <row r="9" spans="1:9" ht="16.5">
      <c r="A9" s="3085" t="s">
        <v>2873</v>
      </c>
      <c r="B9" s="3088"/>
      <c r="C9" s="3086"/>
      <c r="D9" s="3086"/>
      <c r="E9" s="3086"/>
      <c r="F9" s="3086"/>
    </row>
    <row r="10" spans="1:9" ht="16.5">
      <c r="A10" s="3085" t="s">
        <v>2874</v>
      </c>
      <c r="B10" s="3088"/>
      <c r="C10" s="3086"/>
      <c r="D10" s="3086"/>
      <c r="E10" s="3086"/>
      <c r="F10" s="3086"/>
    </row>
    <row r="11" spans="1:9" ht="16.5">
      <c r="A11" s="3085" t="s">
        <v>2891</v>
      </c>
      <c r="B11" s="3088"/>
      <c r="C11" s="3086"/>
      <c r="D11" s="3086"/>
      <c r="E11" s="3086"/>
      <c r="F11" s="3086"/>
    </row>
    <row r="12" spans="1:9" ht="16.5">
      <c r="A12" s="3086"/>
      <c r="B12" s="3086"/>
      <c r="C12" s="3086"/>
      <c r="D12" s="3086"/>
      <c r="E12" s="3086"/>
      <c r="F12" s="3086"/>
    </row>
    <row r="13" spans="1:9" ht="33">
      <c r="A13" s="3091" t="s">
        <v>2890</v>
      </c>
      <c r="B13" s="3089" t="s">
        <v>2862</v>
      </c>
      <c r="C13" s="3089" t="s">
        <v>2863</v>
      </c>
      <c r="D13" s="3089" t="s">
        <v>2875</v>
      </c>
      <c r="E13" s="3085" t="s">
        <v>2889</v>
      </c>
      <c r="F13" s="3085" t="s">
        <v>2868</v>
      </c>
      <c r="G13" s="3089" t="s">
        <v>2876</v>
      </c>
      <c r="H13" s="3089" t="s">
        <v>2877</v>
      </c>
      <c r="I13" s="3089" t="s">
        <v>2878</v>
      </c>
    </row>
    <row r="14" spans="1:9" ht="16.5">
      <c r="A14" s="3092" t="s">
        <v>2888</v>
      </c>
      <c r="B14" s="3089">
        <f>'数据-汇总表'!E3</f>
        <v>205109.7</v>
      </c>
      <c r="C14" s="3089">
        <f>'数据-汇总表'!D3</f>
        <v>102554.85</v>
      </c>
      <c r="D14" s="3089">
        <f ca="1">结果表!C42</f>
        <v>11614</v>
      </c>
      <c r="E14" s="3089">
        <f ca="1">ROUND(D14*10000/B14,0)</f>
        <v>566</v>
      </c>
      <c r="F14" s="3089">
        <f ca="1">ROUND(D14*10000/C14,0)</f>
        <v>1132</v>
      </c>
      <c r="G14" s="3089" t="str">
        <f>结果表!C44</f>
        <v>——</v>
      </c>
      <c r="H14" s="3089" t="str">
        <f>结果表!C45</f>
        <v>——</v>
      </c>
      <c r="I14" s="3089" t="str">
        <f>结果表!C46</f>
        <v>——</v>
      </c>
    </row>
    <row r="15" spans="1:9" ht="16.5">
      <c r="A15" s="3092" t="s">
        <v>2879</v>
      </c>
      <c r="B15" s="3093"/>
      <c r="C15" s="3093"/>
      <c r="D15" s="3093"/>
      <c r="E15" s="3089" t="e">
        <f t="shared" ref="E15:E23" si="2">ROUND(D15*10000/B15,0)</f>
        <v>#DIV/0!</v>
      </c>
      <c r="F15" s="3089" t="e">
        <f t="shared" ref="F15:F23" si="3">ROUND(D15*10000/C15,0)</f>
        <v>#DIV/0!</v>
      </c>
      <c r="G15" s="3090"/>
      <c r="H15" s="3090"/>
      <c r="I15" s="3093"/>
    </row>
    <row r="16" spans="1:9" ht="16.5">
      <c r="A16" s="3092" t="s">
        <v>2880</v>
      </c>
      <c r="B16" s="3093"/>
      <c r="C16" s="3093"/>
      <c r="D16" s="3093"/>
      <c r="E16" s="3089" t="e">
        <f t="shared" si="2"/>
        <v>#DIV/0!</v>
      </c>
      <c r="F16" s="3089" t="e">
        <f t="shared" si="3"/>
        <v>#DIV/0!</v>
      </c>
      <c r="G16" s="3090"/>
      <c r="H16" s="3090"/>
      <c r="I16" s="3093"/>
    </row>
    <row r="17" spans="1:9" ht="16.5">
      <c r="A17" s="3092" t="s">
        <v>2881</v>
      </c>
      <c r="B17" s="3093"/>
      <c r="C17" s="3093"/>
      <c r="D17" s="3093"/>
      <c r="E17" s="3089" t="e">
        <f t="shared" si="2"/>
        <v>#DIV/0!</v>
      </c>
      <c r="F17" s="3089" t="e">
        <f t="shared" si="3"/>
        <v>#DIV/0!</v>
      </c>
      <c r="G17" s="3090"/>
      <c r="H17" s="3090"/>
      <c r="I17" s="3093"/>
    </row>
    <row r="18" spans="1:9" ht="16.5">
      <c r="A18" s="3092" t="s">
        <v>2882</v>
      </c>
      <c r="B18" s="3093"/>
      <c r="C18" s="3093"/>
      <c r="D18" s="3093"/>
      <c r="E18" s="3089" t="e">
        <f t="shared" si="2"/>
        <v>#DIV/0!</v>
      </c>
      <c r="F18" s="3089" t="e">
        <f t="shared" si="3"/>
        <v>#DIV/0!</v>
      </c>
      <c r="G18" s="3093"/>
      <c r="H18" s="3093"/>
      <c r="I18" s="3093"/>
    </row>
    <row r="19" spans="1:9" ht="16.5">
      <c r="A19" s="3092" t="s">
        <v>2883</v>
      </c>
      <c r="B19" s="3093"/>
      <c r="C19" s="3093"/>
      <c r="D19" s="3093"/>
      <c r="E19" s="3089" t="e">
        <f t="shared" si="2"/>
        <v>#DIV/0!</v>
      </c>
      <c r="F19" s="3089" t="e">
        <f t="shared" si="3"/>
        <v>#DIV/0!</v>
      </c>
      <c r="G19" s="3093"/>
      <c r="H19" s="3093"/>
      <c r="I19" s="3093"/>
    </row>
    <row r="20" spans="1:9" ht="16.5">
      <c r="A20" s="3092" t="s">
        <v>2884</v>
      </c>
      <c r="B20" s="3093"/>
      <c r="C20" s="3093"/>
      <c r="D20" s="3093"/>
      <c r="E20" s="3089" t="e">
        <f t="shared" si="2"/>
        <v>#DIV/0!</v>
      </c>
      <c r="F20" s="3089" t="e">
        <f t="shared" si="3"/>
        <v>#DIV/0!</v>
      </c>
      <c r="G20" s="3093"/>
      <c r="H20" s="3093"/>
      <c r="I20" s="3093"/>
    </row>
    <row r="21" spans="1:9" ht="16.5">
      <c r="A21" s="3092" t="s">
        <v>2885</v>
      </c>
      <c r="B21" s="3093"/>
      <c r="C21" s="3093"/>
      <c r="D21" s="3093"/>
      <c r="E21" s="3089" t="e">
        <f t="shared" si="2"/>
        <v>#DIV/0!</v>
      </c>
      <c r="F21" s="3089" t="e">
        <f t="shared" si="3"/>
        <v>#DIV/0!</v>
      </c>
      <c r="G21" s="3093"/>
      <c r="H21" s="3093"/>
      <c r="I21" s="3093"/>
    </row>
    <row r="22" spans="1:9" ht="16.5">
      <c r="A22" s="3092" t="s">
        <v>2886</v>
      </c>
      <c r="B22" s="3093"/>
      <c r="C22" s="3093"/>
      <c r="D22" s="3093"/>
      <c r="E22" s="3089" t="e">
        <f t="shared" si="2"/>
        <v>#DIV/0!</v>
      </c>
      <c r="F22" s="3089" t="e">
        <f t="shared" si="3"/>
        <v>#DIV/0!</v>
      </c>
      <c r="G22" s="3093"/>
      <c r="H22" s="3093"/>
      <c r="I22" s="3093"/>
    </row>
    <row r="23" spans="1:9" ht="16.5">
      <c r="A23" s="3092" t="s">
        <v>2887</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2066</v>
      </c>
      <c r="B1" s="1783"/>
      <c r="C1" s="1811" t="s">
        <v>2067</v>
      </c>
      <c r="D1" s="1812"/>
      <c r="E1" s="1811" t="s">
        <v>2068</v>
      </c>
      <c r="F1" s="1813"/>
      <c r="G1" s="314"/>
      <c r="H1" s="314"/>
      <c r="I1" s="314"/>
      <c r="J1" s="2035"/>
      <c r="K1" s="2035"/>
      <c r="L1" s="2035"/>
      <c r="M1" s="2035"/>
      <c r="N1" s="2035"/>
      <c r="O1" s="2035"/>
      <c r="P1" s="2035"/>
      <c r="Q1" s="2035"/>
      <c r="R1" s="2035"/>
      <c r="S1" s="2035"/>
      <c r="T1" s="2035"/>
      <c r="U1" s="2035"/>
      <c r="V1" s="2035"/>
    </row>
    <row r="2" spans="1:22" ht="21.75" customHeight="1" thickBot="1">
      <c r="A2" s="3287" t="str">
        <f>项目基本情况!K2</f>
        <v>出让国有建设用地使用权</v>
      </c>
      <c r="B2" s="3288"/>
      <c r="C2" s="3289"/>
      <c r="D2" s="3289"/>
      <c r="E2" s="3289"/>
      <c r="F2" s="3289"/>
      <c r="G2" s="3288"/>
      <c r="H2" s="3288"/>
      <c r="I2" s="3290"/>
      <c r="J2" s="2036"/>
      <c r="K2" s="2035"/>
      <c r="L2" s="2035"/>
      <c r="M2" s="2035"/>
      <c r="N2" s="2035"/>
      <c r="O2" s="2035"/>
      <c r="P2" s="2035"/>
      <c r="Q2" s="2035"/>
      <c r="R2" s="2035"/>
      <c r="S2" s="2035"/>
      <c r="T2" s="2035"/>
      <c r="U2" s="2035"/>
      <c r="V2" s="2035"/>
    </row>
    <row r="3" spans="1:22" ht="14.25">
      <c r="A3" s="3298" t="s">
        <v>298</v>
      </c>
      <c r="B3" s="3299"/>
      <c r="C3" s="3299"/>
      <c r="D3" s="3299"/>
      <c r="E3" s="3299"/>
      <c r="F3" s="3299"/>
      <c r="G3" s="3299"/>
      <c r="H3" s="3299"/>
      <c r="I3" s="3299"/>
      <c r="J3" s="2036"/>
      <c r="K3" s="2035"/>
      <c r="L3" s="2035"/>
      <c r="M3" s="2035"/>
      <c r="N3" s="2035"/>
      <c r="O3" s="2035"/>
      <c r="P3" s="2035"/>
      <c r="Q3" s="2035"/>
      <c r="R3" s="2035"/>
      <c r="S3" s="2035"/>
      <c r="T3" s="2035"/>
      <c r="U3" s="2035"/>
      <c r="V3" s="2035"/>
    </row>
    <row r="4" spans="1:22" ht="14.25">
      <c r="A4" s="258" t="s">
        <v>299</v>
      </c>
      <c r="B4" s="259" t="s">
        <v>300</v>
      </c>
      <c r="C4" s="260" t="s">
        <v>3101</v>
      </c>
      <c r="D4" s="260" t="s">
        <v>3102</v>
      </c>
      <c r="E4" s="3262" t="s">
        <v>301</v>
      </c>
      <c r="F4" s="3304"/>
      <c r="G4" s="3304"/>
      <c r="H4" s="3304"/>
      <c r="I4" s="3263"/>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91" t="s">
        <v>302</v>
      </c>
      <c r="B5" s="3292">
        <v>25</v>
      </c>
      <c r="C5" s="3300"/>
      <c r="D5" s="3303"/>
      <c r="E5" s="261" t="s">
        <v>303</v>
      </c>
      <c r="F5" s="262"/>
      <c r="G5" s="262"/>
      <c r="H5" s="262"/>
      <c r="I5" s="263"/>
      <c r="J5" s="2036"/>
      <c r="K5" s="2035"/>
      <c r="L5" s="2035"/>
      <c r="M5" s="2035"/>
      <c r="N5" s="2035"/>
      <c r="O5" s="2035"/>
      <c r="P5" s="2035"/>
      <c r="Q5" s="2035"/>
      <c r="R5" s="2035"/>
      <c r="S5" s="2035"/>
      <c r="T5" s="2035"/>
      <c r="U5" s="2035"/>
      <c r="V5" s="2035"/>
    </row>
    <row r="6" spans="1:22" ht="14.25">
      <c r="A6" s="3291"/>
      <c r="B6" s="3292"/>
      <c r="C6" s="3301"/>
      <c r="D6" s="3303"/>
      <c r="E6" s="261" t="s">
        <v>304</v>
      </c>
      <c r="F6" s="262"/>
      <c r="G6" s="262"/>
      <c r="H6" s="262"/>
      <c r="I6" s="263"/>
      <c r="J6" s="2036"/>
      <c r="K6" s="2035"/>
      <c r="L6" s="2035"/>
      <c r="M6" s="2035"/>
      <c r="N6" s="2035"/>
      <c r="O6" s="2035"/>
      <c r="P6" s="2035"/>
      <c r="Q6" s="2035"/>
      <c r="R6" s="2035"/>
      <c r="S6" s="2035"/>
      <c r="T6" s="2035"/>
      <c r="U6" s="2035"/>
      <c r="V6" s="2035"/>
    </row>
    <row r="7" spans="1:22" ht="14.25">
      <c r="A7" s="3291"/>
      <c r="B7" s="3292"/>
      <c r="C7" s="3302"/>
      <c r="D7" s="3303"/>
      <c r="E7" s="261" t="s">
        <v>305</v>
      </c>
      <c r="F7" s="262"/>
      <c r="G7" s="262"/>
      <c r="H7" s="262"/>
      <c r="I7" s="263"/>
      <c r="J7" s="2036"/>
      <c r="K7" s="2035"/>
      <c r="L7" s="2035"/>
      <c r="M7" s="2035"/>
      <c r="N7" s="2035"/>
      <c r="O7" s="2035"/>
      <c r="P7" s="2035"/>
      <c r="Q7" s="2035"/>
      <c r="R7" s="2035"/>
      <c r="S7" s="2035"/>
      <c r="T7" s="2035"/>
      <c r="U7" s="2035"/>
      <c r="V7" s="2035"/>
    </row>
    <row r="8" spans="1:22" ht="14.25">
      <c r="A8" s="3291" t="s">
        <v>306</v>
      </c>
      <c r="B8" s="3292">
        <v>15</v>
      </c>
      <c r="C8" s="3300"/>
      <c r="D8" s="3303"/>
      <c r="E8" s="261" t="s">
        <v>307</v>
      </c>
      <c r="F8" s="262"/>
      <c r="G8" s="262"/>
      <c r="H8" s="262"/>
      <c r="I8" s="263"/>
      <c r="J8" s="2036"/>
      <c r="K8" s="2035"/>
      <c r="L8" s="2035"/>
      <c r="M8" s="2035"/>
      <c r="N8" s="2035"/>
      <c r="O8" s="2035"/>
      <c r="P8" s="2035"/>
      <c r="Q8" s="2035"/>
      <c r="R8" s="2035"/>
      <c r="S8" s="2035"/>
      <c r="T8" s="2035"/>
      <c r="U8" s="2035"/>
      <c r="V8" s="2035"/>
    </row>
    <row r="9" spans="1:22" ht="14.25">
      <c r="A9" s="3291"/>
      <c r="B9" s="3292"/>
      <c r="C9" s="3302"/>
      <c r="D9" s="3303"/>
      <c r="E9" s="261" t="s">
        <v>308</v>
      </c>
      <c r="F9" s="262"/>
      <c r="G9" s="262"/>
      <c r="H9" s="262"/>
      <c r="I9" s="263"/>
      <c r="J9" s="2036"/>
      <c r="K9" s="2035"/>
      <c r="L9" s="2035"/>
      <c r="M9" s="2035"/>
      <c r="N9" s="2035"/>
      <c r="O9" s="2035"/>
      <c r="P9" s="2035"/>
      <c r="Q9" s="2035"/>
      <c r="R9" s="2035"/>
      <c r="S9" s="2035"/>
      <c r="T9" s="2035"/>
      <c r="U9" s="2035"/>
      <c r="V9" s="2035"/>
    </row>
    <row r="10" spans="1:22" ht="14.25">
      <c r="A10" s="3291" t="s">
        <v>309</v>
      </c>
      <c r="B10" s="3292">
        <v>15</v>
      </c>
      <c r="C10" s="3300"/>
      <c r="D10" s="3303"/>
      <c r="E10" s="261" t="s">
        <v>310</v>
      </c>
      <c r="F10" s="262"/>
      <c r="G10" s="262"/>
      <c r="H10" s="262"/>
      <c r="I10" s="263"/>
      <c r="J10" s="2036"/>
      <c r="K10" s="2035"/>
      <c r="L10" s="2035"/>
      <c r="M10" s="2035"/>
      <c r="N10" s="2035"/>
      <c r="O10" s="2035"/>
      <c r="P10" s="2035"/>
      <c r="Q10" s="2035"/>
      <c r="R10" s="2035"/>
      <c r="S10" s="2035"/>
      <c r="T10" s="2035"/>
      <c r="U10" s="2035"/>
      <c r="V10" s="2035"/>
    </row>
    <row r="11" spans="1:22" ht="14.25">
      <c r="A11" s="3291"/>
      <c r="B11" s="3292"/>
      <c r="C11" s="3302"/>
      <c r="D11" s="3303"/>
      <c r="E11" s="261" t="s">
        <v>311</v>
      </c>
      <c r="F11" s="262"/>
      <c r="G11" s="262"/>
      <c r="H11" s="262"/>
      <c r="I11" s="263"/>
      <c r="J11" s="2036"/>
      <c r="K11" s="2035"/>
      <c r="L11" s="2035"/>
      <c r="M11" s="2035"/>
      <c r="N11" s="2035"/>
      <c r="O11" s="2035"/>
      <c r="P11" s="2035"/>
      <c r="Q11" s="2035"/>
      <c r="R11" s="2035"/>
      <c r="S11" s="2035"/>
      <c r="T11" s="2035"/>
      <c r="U11" s="2035"/>
      <c r="V11" s="2035"/>
    </row>
    <row r="12" spans="1:22" ht="14.25">
      <c r="A12" s="3291" t="s">
        <v>312</v>
      </c>
      <c r="B12" s="3292">
        <v>15</v>
      </c>
      <c r="C12" s="3300"/>
      <c r="D12" s="3303"/>
      <c r="E12" s="261" t="s">
        <v>313</v>
      </c>
      <c r="F12" s="262"/>
      <c r="G12" s="262"/>
      <c r="H12" s="262"/>
      <c r="I12" s="263"/>
      <c r="J12" s="2036"/>
      <c r="K12" s="2035"/>
      <c r="L12" s="2035"/>
      <c r="M12" s="2035"/>
      <c r="N12" s="2035"/>
      <c r="O12" s="2035"/>
      <c r="P12" s="2035"/>
      <c r="Q12" s="2035"/>
      <c r="R12" s="2035"/>
      <c r="S12" s="2035"/>
      <c r="T12" s="2035"/>
      <c r="U12" s="2035"/>
      <c r="V12" s="2035"/>
    </row>
    <row r="13" spans="1:22" ht="14.25">
      <c r="A13" s="3291"/>
      <c r="B13" s="3292"/>
      <c r="C13" s="3302"/>
      <c r="D13" s="3303"/>
      <c r="E13" s="261" t="s">
        <v>314</v>
      </c>
      <c r="F13" s="262"/>
      <c r="G13" s="262"/>
      <c r="H13" s="262"/>
      <c r="I13" s="263"/>
      <c r="J13" s="2036"/>
      <c r="K13" s="2035"/>
      <c r="L13" s="2035"/>
      <c r="M13" s="2035"/>
      <c r="N13" s="2035"/>
      <c r="O13" s="2035"/>
      <c r="P13" s="2035"/>
      <c r="Q13" s="2035"/>
      <c r="R13" s="2035"/>
      <c r="S13" s="2035"/>
      <c r="T13" s="2035"/>
      <c r="U13" s="2035"/>
      <c r="V13" s="2035"/>
    </row>
    <row r="14" spans="1:22" ht="14.25">
      <c r="A14" s="3291" t="s">
        <v>315</v>
      </c>
      <c r="B14" s="3292">
        <v>30</v>
      </c>
      <c r="C14" s="3300">
        <v>5</v>
      </c>
      <c r="D14" s="3303">
        <v>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91"/>
      <c r="B15" s="3292"/>
      <c r="C15" s="3301"/>
      <c r="D15" s="3303"/>
      <c r="E15" s="261" t="s">
        <v>317</v>
      </c>
      <c r="F15" s="262"/>
      <c r="G15" s="262"/>
      <c r="H15" s="262"/>
      <c r="I15" s="263"/>
      <c r="J15" s="2036"/>
      <c r="K15" s="2035"/>
      <c r="L15" s="2035"/>
      <c r="M15" s="2035"/>
      <c r="N15" s="2035"/>
      <c r="O15" s="2035"/>
      <c r="P15" s="2035"/>
      <c r="Q15" s="2035"/>
      <c r="R15" s="2035"/>
      <c r="S15" s="2035"/>
      <c r="T15" s="2035"/>
      <c r="U15" s="2035"/>
      <c r="V15" s="2035"/>
    </row>
    <row r="16" spans="1:22" ht="14.25">
      <c r="A16" s="3291"/>
      <c r="B16" s="3292"/>
      <c r="C16" s="3302"/>
      <c r="D16" s="3303"/>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5</v>
      </c>
      <c r="D17" s="265">
        <f>SUM(D5:D16)</f>
        <v>5</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0.5</v>
      </c>
      <c r="D18" s="267">
        <f>1-C18</f>
        <v>0.5</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10255</v>
      </c>
      <c r="D19" s="271">
        <f ca="1">SUMIF(INDIRECT("'"&amp;D4&amp;"'"&amp;"!A:A"),结果表!B19,INDIRECT("'"&amp;D4&amp;"'"&amp;"!B:B"))</f>
        <v>12972</v>
      </c>
      <c r="E19" s="268" t="s">
        <v>323</v>
      </c>
      <c r="F19" s="269" t="s">
        <v>322</v>
      </c>
      <c r="G19" s="272">
        <f ca="1">ROUND(C19*$C$18+D19*$D$18,0)</f>
        <v>11614</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500</v>
      </c>
      <c r="D20" s="277">
        <f ca="1">SUMIF(INDIRECT("'"&amp;D4&amp;"'"&amp;"!A:A"),结果表!B20,INDIRECT("'"&amp;D4&amp;"'"&amp;"!B:B"))</f>
        <v>666</v>
      </c>
      <c r="E20" s="274"/>
      <c r="F20" s="275" t="s">
        <v>325</v>
      </c>
      <c r="G20" s="278">
        <f ca="1">ROUND(C20*$C$18+D20*$D$18,0)</f>
        <v>583</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1000</v>
      </c>
      <c r="D21" s="151">
        <f ca="1">SUMIF(INDIRECT("'"&amp;D4&amp;"'"&amp;"!A:A"),结果表!B21,INDIRECT("'"&amp;D4&amp;"'"&amp;"!B:B"))</f>
        <v>1265</v>
      </c>
      <c r="E21" s="274"/>
      <c r="F21" s="280" t="s">
        <v>327</v>
      </c>
      <c r="G21" s="282">
        <f ca="1">ROUND(C21*$C$18+D21*$D$18,0)</f>
        <v>1133</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0.2649439297903462</v>
      </c>
      <c r="E22" s="284"/>
      <c r="F22" s="285"/>
      <c r="G22" s="286">
        <f ca="1">ROUND(G19/('数据-汇总表'!D3/666.67),0)</f>
        <v>75</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64"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06"/>
      <c r="B25" s="1324" t="s">
        <v>331</v>
      </c>
      <c r="C25" s="290">
        <f>IF(B30=0,0,C30)</f>
        <v>0</v>
      </c>
      <c r="D25" s="291"/>
      <c r="E25" s="314"/>
      <c r="F25" s="314"/>
      <c r="G25" s="314"/>
      <c r="H25" s="314"/>
      <c r="I25" s="314"/>
      <c r="J25" s="2035"/>
      <c r="K25" s="1258" t="str">
        <f ca="1">项目基本情况!B16&amp;"国有建设用地使用权价格："&amp;O38&amp;"万元"</f>
        <v>出让国有建设用地使用权价格：11614万元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大写金额：人民币壹亿壹仟陆佰壹拾肆万元整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单位面积地价：1132元/平方米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楼面地价：566元/平方米</v>
      </c>
      <c r="L28" s="1255"/>
      <c r="M28" s="1255"/>
      <c r="N28" s="1255"/>
      <c r="O28" s="1254"/>
      <c r="P28" s="2035"/>
      <c r="V28" s="2035"/>
    </row>
    <row r="29" spans="1:26" ht="18">
      <c r="A29" s="293"/>
      <c r="B29" s="294"/>
      <c r="C29" s="294"/>
      <c r="D29" s="295"/>
      <c r="E29" s="314"/>
      <c r="F29" s="314"/>
      <c r="G29" s="314"/>
      <c r="H29" s="314"/>
      <c r="I29" s="314"/>
      <c r="J29" s="2035"/>
      <c r="K29" s="1261" t="str">
        <f>IF(OR(项目基本情况!E8="抵押价格",项目基本情况!E8="已注销及未注销"),"抵押价格："&amp;O39&amp;"万元","——")</f>
        <v>——</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IF(K29="——","——","大写金额：人民币"&amp;NUMBERSTRING(INT(O39*10000),2)&amp;"元整")</f>
        <v>——</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抵押担保权已注销时的抵押价格：——万元</v>
      </c>
      <c r="L31" s="2500"/>
      <c r="M31" s="2500"/>
      <c r="N31" s="2500"/>
      <c r="O31" s="2501"/>
      <c r="P31" s="2035"/>
      <c r="V31" s="2035"/>
    </row>
    <row r="32" spans="1:26" ht="18.75" thickBot="1">
      <c r="A32" s="268" t="s">
        <v>337</v>
      </c>
      <c r="B32" s="1386" t="s">
        <v>1692</v>
      </c>
      <c r="C32" s="1387">
        <f ca="1">G19-C24</f>
        <v>11614</v>
      </c>
      <c r="D32" s="1388" t="s">
        <v>1693</v>
      </c>
      <c r="E32" s="314"/>
      <c r="F32" s="314"/>
      <c r="G32" s="314"/>
      <c r="H32" s="314"/>
      <c r="I32" s="314"/>
      <c r="J32" s="2035"/>
      <c r="K32" s="2499" t="e">
        <f>IF(K31="——","——","大写金额：人民币"&amp;NUMBERSTRING(INT(O40*10000),2)&amp;"元整")</f>
        <v>#VALUE!</v>
      </c>
      <c r="L32" s="2502"/>
      <c r="M32" s="2502"/>
      <c r="N32" s="2502"/>
      <c r="O32" s="2503"/>
      <c r="P32" s="2035"/>
      <c r="V32" s="2035"/>
    </row>
    <row r="33" spans="1:26" ht="18.75" thickBot="1">
      <c r="A33" s="301" t="s">
        <v>340</v>
      </c>
      <c r="B33" s="1389" t="s">
        <v>1694</v>
      </c>
      <c r="C33" s="264">
        <f ca="1">ROUND(C32*10000/'数据-汇总表'!E3,0)</f>
        <v>566</v>
      </c>
      <c r="D33" s="1390" t="s">
        <v>1695</v>
      </c>
      <c r="E33" s="3264"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1132</v>
      </c>
      <c r="D34" s="1392" t="s">
        <v>1695</v>
      </c>
      <c r="E34" s="3265"/>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75</v>
      </c>
      <c r="D35" s="1395" t="s">
        <v>1697</v>
      </c>
      <c r="E35" s="3266"/>
      <c r="F35" s="304" t="s">
        <v>342</v>
      </c>
      <c r="G35" s="985"/>
      <c r="H35" s="984" t="s">
        <v>343</v>
      </c>
      <c r="I35" s="314"/>
      <c r="J35" s="2035"/>
      <c r="K35" s="3270" t="s">
        <v>350</v>
      </c>
      <c r="L35" s="3270" t="s">
        <v>351</v>
      </c>
      <c r="M35" s="1267" t="s">
        <v>352</v>
      </c>
      <c r="N35" s="3270" t="s">
        <v>353</v>
      </c>
      <c r="O35" s="3270" t="s">
        <v>354</v>
      </c>
      <c r="P35" s="2035"/>
      <c r="V35" s="2035"/>
    </row>
    <row r="36" spans="1:26" ht="16.5" customHeight="1">
      <c r="A36" s="306" t="s">
        <v>344</v>
      </c>
      <c r="B36" s="307" t="s">
        <v>333</v>
      </c>
      <c r="C36" s="308" t="s">
        <v>345</v>
      </c>
      <c r="D36" s="308" t="s">
        <v>346</v>
      </c>
      <c r="E36" s="309" t="s">
        <v>347</v>
      </c>
      <c r="F36" s="314"/>
      <c r="G36" s="314"/>
      <c r="H36" s="314"/>
      <c r="I36" s="314"/>
      <c r="J36" s="2037"/>
      <c r="K36" s="3271"/>
      <c r="L36" s="3271"/>
      <c r="M36" s="1269" t="s">
        <v>355</v>
      </c>
      <c r="N36" s="3271"/>
      <c r="O36" s="3271"/>
      <c r="P36" s="2035"/>
      <c r="V36" s="2035"/>
    </row>
    <row r="37" spans="1:26" ht="16.5" customHeight="1" thickBot="1">
      <c r="A37" s="1263" t="s">
        <v>348</v>
      </c>
      <c r="B37" s="310"/>
      <c r="C37" s="294"/>
      <c r="D37" s="294"/>
      <c r="E37" s="295"/>
      <c r="F37" s="314"/>
      <c r="G37" s="314"/>
      <c r="H37" s="314"/>
      <c r="I37" s="314"/>
      <c r="J37" s="2037"/>
      <c r="K37" s="3272"/>
      <c r="L37" s="3272"/>
      <c r="M37" s="1270"/>
      <c r="N37" s="3272"/>
      <c r="O37" s="3272"/>
      <c r="P37" s="2035"/>
      <c r="V37" s="2035"/>
    </row>
    <row r="38" spans="1:26" ht="16.5" customHeight="1" thickBot="1">
      <c r="A38" s="1263" t="s">
        <v>349</v>
      </c>
      <c r="B38" s="310"/>
      <c r="C38" s="294"/>
      <c r="D38" s="294"/>
      <c r="E38" s="295"/>
      <c r="F38" s="314"/>
      <c r="G38" s="314"/>
      <c r="H38" s="314"/>
      <c r="I38" s="314"/>
      <c r="J38" s="2037"/>
      <c r="K38" s="1271">
        <f>'数据-汇总表'!D3</f>
        <v>102554.85</v>
      </c>
      <c r="L38" s="1272">
        <f>'数据-汇总表'!E3</f>
        <v>205109.7</v>
      </c>
      <c r="M38" s="1272">
        <f ca="1">C34</f>
        <v>1132</v>
      </c>
      <c r="N38" s="1272">
        <f ca="1">C33</f>
        <v>566</v>
      </c>
      <c r="O38" s="1273">
        <f ca="1">C32</f>
        <v>11614</v>
      </c>
      <c r="P38" s="2035"/>
      <c r="V38" s="2035"/>
    </row>
    <row r="39" spans="1:26" ht="16.5" customHeight="1" thickBot="1">
      <c r="A39" s="1268"/>
      <c r="B39" s="311"/>
      <c r="C39" s="312"/>
      <c r="D39" s="312"/>
      <c r="E39" s="313"/>
      <c r="F39" s="314"/>
      <c r="G39" s="314"/>
      <c r="H39" s="314"/>
      <c r="I39" s="314"/>
      <c r="J39" s="2037"/>
      <c r="K39" s="3247" t="str">
        <f>MID(A44,3,LEN(A44)-2)</f>
        <v/>
      </c>
      <c r="L39" s="3248"/>
      <c r="M39" s="3248"/>
      <c r="N39" s="3249"/>
      <c r="O39" s="1397" t="str">
        <f>C44</f>
        <v>——</v>
      </c>
      <c r="P39" s="2035"/>
      <c r="V39" s="2035"/>
    </row>
    <row r="40" spans="1:26" ht="19.5" thickBot="1">
      <c r="A40" s="104" t="s">
        <v>876</v>
      </c>
      <c r="B40" s="314"/>
      <c r="C40" s="314"/>
      <c r="D40" s="314"/>
      <c r="E40" s="314"/>
      <c r="F40" s="314"/>
      <c r="G40" s="314"/>
      <c r="H40" s="314"/>
      <c r="I40" s="314"/>
      <c r="J40" s="2037"/>
      <c r="K40" s="3247" t="str">
        <f t="shared" ref="K40:K41" si="0">MID(A45,3,LEN(A45)-2)</f>
        <v/>
      </c>
      <c r="L40" s="3248"/>
      <c r="M40" s="3248"/>
      <c r="N40" s="3249"/>
      <c r="O40" s="1397" t="str">
        <f>C45</f>
        <v>——</v>
      </c>
      <c r="P40" s="2035"/>
      <c r="V40" s="2035"/>
    </row>
    <row r="41" spans="1:26" ht="16.5" thickBot="1">
      <c r="A41" s="315" t="s">
        <v>356</v>
      </c>
      <c r="B41" s="316"/>
      <c r="C41" s="317" t="s">
        <v>357</v>
      </c>
      <c r="D41" s="318" t="s">
        <v>358</v>
      </c>
      <c r="E41" s="318" t="s">
        <v>359</v>
      </c>
      <c r="F41" s="319" t="s">
        <v>360</v>
      </c>
      <c r="G41" s="314"/>
      <c r="H41" s="314"/>
      <c r="I41" s="314"/>
      <c r="J41" s="2037"/>
      <c r="K41" s="3247" t="str">
        <f t="shared" si="0"/>
        <v/>
      </c>
      <c r="L41" s="3248"/>
      <c r="M41" s="3248"/>
      <c r="N41" s="3249"/>
      <c r="O41" s="1397" t="str">
        <f>C46</f>
        <v>——</v>
      </c>
      <c r="P41" s="2035"/>
      <c r="V41" s="2035"/>
    </row>
    <row r="42" spans="1:26" ht="29.25">
      <c r="A42" s="3307" t="s">
        <v>2078</v>
      </c>
      <c r="B42" s="3308"/>
      <c r="C42" s="264">
        <f ca="1">C32</f>
        <v>11614</v>
      </c>
      <c r="D42" s="320">
        <f ca="1">C33</f>
        <v>566</v>
      </c>
      <c r="E42" s="320">
        <f ca="1">C34</f>
        <v>1132</v>
      </c>
      <c r="F42" s="321">
        <f ca="1">C35</f>
        <v>75</v>
      </c>
      <c r="G42" s="314"/>
      <c r="H42" s="314"/>
      <c r="I42" s="322"/>
      <c r="J42" s="2037"/>
      <c r="K42" s="1274" t="s">
        <v>361</v>
      </c>
      <c r="L42" s="2054" t="s">
        <v>362</v>
      </c>
      <c r="M42" s="1275" t="s">
        <v>363</v>
      </c>
      <c r="N42" s="2055" t="s">
        <v>364</v>
      </c>
      <c r="O42" s="2056" t="s">
        <v>365</v>
      </c>
      <c r="P42" s="2035"/>
      <c r="V42" s="2035"/>
    </row>
    <row r="43" spans="1:26" ht="18">
      <c r="A43" s="3317" t="s">
        <v>2748</v>
      </c>
      <c r="B43" s="3318"/>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10255</v>
      </c>
      <c r="M43" s="1278">
        <f>C18</f>
        <v>0.5</v>
      </c>
      <c r="N43" s="1279">
        <f ca="1">IF(N42="测算结果/万元",G19,G20)</f>
        <v>11614</v>
      </c>
      <c r="O43" s="1280">
        <f ca="1">IF(O42="最终结果/万元",C32,C33)</f>
        <v>11614</v>
      </c>
      <c r="P43" s="2035"/>
      <c r="V43" s="2035"/>
    </row>
    <row r="44" spans="1:26" ht="18.75" thickBot="1">
      <c r="A44" s="3307" t="str">
        <f>IF(OR(项目基本情况!E8="抵押价格",项目基本情况!E8="已注销及未注销"),"3.抵押价格","——")</f>
        <v>——</v>
      </c>
      <c r="B44" s="3308"/>
      <c r="C44" s="264" t="str">
        <f>IF(A44="——","——",C42-C43)</f>
        <v>——</v>
      </c>
      <c r="D44" s="320" t="e">
        <f>ROUND(C44*10000/'数据-汇总表'!E3,0)</f>
        <v>#VALUE!</v>
      </c>
      <c r="E44" s="320" t="e">
        <f>ROUND(C44*10000/'数据-汇总表'!D3,0)</f>
        <v>#VALUE!</v>
      </c>
      <c r="F44" s="321" t="e">
        <f>ROUND(C44/('数据-汇总表'!D3/666.67),0)</f>
        <v>#VALUE!</v>
      </c>
      <c r="G44" s="314"/>
      <c r="H44" s="314"/>
      <c r="I44" s="322"/>
      <c r="J44" s="2037"/>
      <c r="K44" s="1281" t="str">
        <f>D4</f>
        <v>剩余法-待开发</v>
      </c>
      <c r="L44" s="1282">
        <f ca="1">IF(L42="估价结果/万元",D19,D20)</f>
        <v>12972</v>
      </c>
      <c r="M44" s="1283">
        <f>D18</f>
        <v>0.5</v>
      </c>
      <c r="N44" s="1284"/>
      <c r="O44" s="1285"/>
      <c r="P44" s="2035"/>
      <c r="V44" s="2035"/>
    </row>
    <row r="45" spans="1:26" ht="15">
      <c r="A45" s="3312" t="str">
        <f>IF(项目基本情况!E8="已注销及未注销","4.抵押担保权已注销时的抵押价格",IF(项目基本情况!E8="已注销","3.抵押担保权已注销时的抵押价格","——"))</f>
        <v>——</v>
      </c>
      <c r="B45" s="3313"/>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09" t="str">
        <f>IF(项目基本情况!E9="抵押净值",IF(A45="——","4.抵押净值","5.抵押净值"),"——")</f>
        <v>——</v>
      </c>
      <c r="B46" s="3310"/>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75" t="s">
        <v>374</v>
      </c>
      <c r="B63" s="3276"/>
      <c r="C63" s="3277"/>
      <c r="D63" s="344">
        <f ca="1">ROUND(C42*F63,0)</f>
        <v>6968</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14" t="s">
        <v>378</v>
      </c>
      <c r="B64" s="3315"/>
      <c r="C64" s="3315"/>
      <c r="D64" s="3315"/>
      <c r="E64" s="3315"/>
      <c r="F64" s="3315"/>
      <c r="G64" s="3316"/>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11" t="s">
        <v>386</v>
      </c>
      <c r="B66" s="3282"/>
      <c r="C66" s="3282"/>
      <c r="D66" s="261">
        <f ca="1">IF(H66="情况1",0,IF(H66="情况2",D70,IF(H66="情况3",D71,IF(H66="情况4",D72))))</f>
        <v>372</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251" t="s">
        <v>385</v>
      </c>
      <c r="M66" s="3252"/>
      <c r="N66" s="2494"/>
      <c r="O66" s="2495"/>
      <c r="P66" s="2496"/>
      <c r="Q66" s="2035"/>
      <c r="R66" s="2035"/>
      <c r="S66" s="2035"/>
      <c r="T66" s="2035"/>
      <c r="U66" s="2035"/>
      <c r="V66" s="2035"/>
    </row>
    <row r="67" spans="1:22" ht="25.5" customHeight="1">
      <c r="A67" s="355" t="s">
        <v>390</v>
      </c>
      <c r="B67" s="3294" t="s">
        <v>391</v>
      </c>
      <c r="C67" s="3294"/>
      <c r="D67" s="356">
        <v>0</v>
      </c>
      <c r="E67" s="41" t="s">
        <v>392</v>
      </c>
      <c r="F67" s="62" t="s">
        <v>21</v>
      </c>
      <c r="G67" s="3278"/>
      <c r="H67" s="314"/>
      <c r="I67" s="1295"/>
      <c r="J67" s="2042"/>
      <c r="K67" s="1983">
        <v>2</v>
      </c>
      <c r="L67" s="3250" t="s">
        <v>389</v>
      </c>
      <c r="M67" s="3250"/>
      <c r="N67" s="1328">
        <f>'数据-取费表'!B2</f>
        <v>42923</v>
      </c>
      <c r="O67" s="1328"/>
      <c r="P67" s="1328"/>
      <c r="Q67" s="2035"/>
      <c r="R67" s="2035"/>
      <c r="S67" s="2035"/>
      <c r="T67" s="2035"/>
      <c r="U67" s="2035"/>
      <c r="V67" s="2035"/>
    </row>
    <row r="68" spans="1:22" ht="25.5" customHeight="1">
      <c r="A68" s="357"/>
      <c r="B68" s="3294" t="s">
        <v>394</v>
      </c>
      <c r="C68" s="3294"/>
      <c r="D68" s="358"/>
      <c r="E68" s="77"/>
      <c r="F68" s="359"/>
      <c r="G68" s="3279"/>
      <c r="H68" s="314"/>
      <c r="I68" s="1295"/>
      <c r="J68" s="2042"/>
      <c r="K68" s="1983">
        <v>3</v>
      </c>
      <c r="L68" s="3250" t="s">
        <v>393</v>
      </c>
      <c r="M68" s="3250"/>
      <c r="N68" s="1296">
        <f ca="1">C42</f>
        <v>11614</v>
      </c>
      <c r="O68" s="1296"/>
      <c r="P68" s="1296"/>
      <c r="Q68" s="2035"/>
      <c r="R68" s="2035"/>
      <c r="S68" s="2035"/>
      <c r="T68" s="2035"/>
      <c r="U68" s="2035"/>
      <c r="V68" s="2035"/>
    </row>
    <row r="69" spans="1:22" ht="12" customHeight="1">
      <c r="A69" s="360"/>
      <c r="B69" s="3294" t="s">
        <v>395</v>
      </c>
      <c r="C69" s="3294"/>
      <c r="D69" s="361"/>
      <c r="E69" s="73"/>
      <c r="F69" s="359"/>
      <c r="G69" s="3280"/>
      <c r="H69" s="314"/>
      <c r="I69" s="1295"/>
      <c r="J69" s="2042"/>
      <c r="K69" s="1297">
        <v>4</v>
      </c>
      <c r="L69" s="3256" t="s">
        <v>2901</v>
      </c>
      <c r="M69" s="3257"/>
      <c r="N69" s="1298" t="str">
        <f>C44</f>
        <v>——</v>
      </c>
      <c r="O69" s="1298"/>
      <c r="P69" s="1298"/>
      <c r="Q69" s="2035"/>
      <c r="R69" s="2035"/>
      <c r="S69" s="2035"/>
      <c r="T69" s="2035"/>
      <c r="U69" s="2035"/>
      <c r="V69" s="2035"/>
    </row>
    <row r="70" spans="1:22" ht="24" customHeight="1">
      <c r="A70" s="362" t="s">
        <v>396</v>
      </c>
      <c r="B70" s="3294" t="s">
        <v>397</v>
      </c>
      <c r="C70" s="3294"/>
      <c r="D70" s="361">
        <f ca="1">ROUND(D63*'数据-取费表'!B41/(1+'数据-取费表'!C42),0)</f>
        <v>372</v>
      </c>
      <c r="E70" s="17" t="s">
        <v>398</v>
      </c>
      <c r="F70" s="363">
        <f>'数据-取费表'!B41</f>
        <v>5.6000000000000001E-2</v>
      </c>
      <c r="G70" s="364"/>
      <c r="H70" s="314"/>
      <c r="I70" s="1295"/>
      <c r="J70" s="2042"/>
      <c r="K70" s="3102"/>
      <c r="L70" s="3103"/>
      <c r="M70" s="3103"/>
      <c r="N70" s="3104" t="s">
        <v>2906</v>
      </c>
      <c r="O70" s="3103"/>
      <c r="P70" s="3105"/>
      <c r="Q70" s="2035"/>
      <c r="R70" s="2035"/>
      <c r="S70" s="2035"/>
      <c r="T70" s="2035"/>
      <c r="U70" s="2035"/>
      <c r="V70" s="2035"/>
    </row>
    <row r="71" spans="1:22" ht="12" customHeight="1">
      <c r="A71" s="362" t="s">
        <v>404</v>
      </c>
      <c r="B71" s="3293" t="s">
        <v>405</v>
      </c>
      <c r="C71" s="3305"/>
      <c r="D71" s="361">
        <f ca="1">ROUND(D63*'数据-取费表'!B41/(1+'数据-取费表'!C42),0)</f>
        <v>372</v>
      </c>
      <c r="E71" s="17" t="s">
        <v>398</v>
      </c>
      <c r="F71" s="363">
        <f>'数据-取费表'!B41</f>
        <v>5.6000000000000001E-2</v>
      </c>
      <c r="G71" s="364"/>
      <c r="H71" s="314"/>
      <c r="I71" s="1295"/>
      <c r="J71" s="2042"/>
      <c r="K71" s="3101" t="s">
        <v>399</v>
      </c>
      <c r="L71" s="3258" t="s">
        <v>400</v>
      </c>
      <c r="M71" s="3258"/>
      <c r="N71" s="3101" t="s">
        <v>401</v>
      </c>
      <c r="O71" s="3101" t="s">
        <v>402</v>
      </c>
      <c r="P71" s="3101" t="s">
        <v>403</v>
      </c>
      <c r="Q71" s="2035"/>
      <c r="R71" s="2035"/>
      <c r="S71" s="2035"/>
      <c r="T71" s="2035"/>
      <c r="U71" s="2035"/>
      <c r="V71" s="2035"/>
    </row>
    <row r="72" spans="1:22" ht="12" customHeight="1">
      <c r="A72" s="362" t="s">
        <v>407</v>
      </c>
      <c r="B72" s="3293" t="s">
        <v>408</v>
      </c>
      <c r="C72" s="3305"/>
      <c r="D72" s="361">
        <f ca="1">C86</f>
        <v>260</v>
      </c>
      <c r="E72" s="73" t="s">
        <v>409</v>
      </c>
      <c r="F72" s="363">
        <f>'数据-取费表'!B41</f>
        <v>5.6000000000000001E-2</v>
      </c>
      <c r="G72" s="364"/>
      <c r="H72" s="1301"/>
      <c r="I72" s="1295"/>
      <c r="J72" s="2042"/>
      <c r="K72" s="1983">
        <v>1</v>
      </c>
      <c r="L72" s="3255" t="s">
        <v>406</v>
      </c>
      <c r="M72" s="3255"/>
      <c r="N72" s="1299">
        <f ca="1">D66</f>
        <v>372</v>
      </c>
      <c r="O72" s="1866" t="str">
        <f>E66</f>
        <v>销售额×税（费）率</v>
      </c>
      <c r="P72" s="1300">
        <f>F66</f>
        <v>5.6000000000000001E-2</v>
      </c>
      <c r="Q72" s="2035"/>
      <c r="R72" s="2035"/>
      <c r="S72" s="2035"/>
      <c r="T72" s="2035"/>
      <c r="U72" s="2035"/>
      <c r="V72" s="2035"/>
    </row>
    <row r="73" spans="1:22" ht="24" customHeight="1">
      <c r="A73" s="3281" t="s">
        <v>411</v>
      </c>
      <c r="B73" s="3282"/>
      <c r="C73" s="3282"/>
      <c r="D73" s="365">
        <f>IF(H73="个人住宅",0,ROUND(D63*I73,0))</f>
        <v>0</v>
      </c>
      <c r="E73" s="17" t="s">
        <v>412</v>
      </c>
      <c r="F73" s="363" t="str">
        <f>IF(H73="正常",I73,"免征")</f>
        <v>免征</v>
      </c>
      <c r="G73" s="364"/>
      <c r="H73" s="191" t="s">
        <v>2469</v>
      </c>
      <c r="I73" s="363">
        <f>'数据-取费表'!B49</f>
        <v>0</v>
      </c>
      <c r="J73" s="2042"/>
      <c r="K73" s="1983">
        <v>2</v>
      </c>
      <c r="L73" s="3255" t="s">
        <v>410</v>
      </c>
      <c r="M73" s="3255"/>
      <c r="N73" s="1299">
        <f t="shared" ref="N73:P74" si="1">D73</f>
        <v>0</v>
      </c>
      <c r="O73" s="1866" t="str">
        <f t="shared" si="1"/>
        <v>销售额×税（费）率</v>
      </c>
      <c r="P73" s="1300" t="str">
        <f t="shared" si="1"/>
        <v>免征</v>
      </c>
      <c r="Q73" s="2035"/>
      <c r="R73" s="2035"/>
      <c r="S73" s="2035"/>
      <c r="T73" s="2035"/>
      <c r="U73" s="2035"/>
      <c r="V73" s="2035"/>
    </row>
    <row r="74" spans="1:22" ht="24.75">
      <c r="A74" s="3281" t="s">
        <v>415</v>
      </c>
      <c r="B74" s="3282"/>
      <c r="C74" s="3282"/>
      <c r="D74" s="365">
        <f ca="1">IF(H74="个人住宅",D75,D76)</f>
        <v>3306</v>
      </c>
      <c r="E74" s="17" t="s">
        <v>416</v>
      </c>
      <c r="F74" s="363" t="str">
        <f>IF(H74="正常",F76,"免征")</f>
        <v>——</v>
      </c>
      <c r="G74" s="986" t="s">
        <v>417</v>
      </c>
      <c r="H74" s="366" t="s">
        <v>413</v>
      </c>
      <c r="I74" s="42"/>
      <c r="J74" s="2042"/>
      <c r="K74" s="1983">
        <v>3</v>
      </c>
      <c r="L74" s="3255" t="s">
        <v>414</v>
      </c>
      <c r="M74" s="3255"/>
      <c r="N74" s="1299">
        <f t="shared" ca="1" si="1"/>
        <v>3306</v>
      </c>
      <c r="O74" s="1866" t="str">
        <f t="shared" si="1"/>
        <v>增值额×税（费）率</v>
      </c>
      <c r="P74" s="1302" t="str">
        <f t="shared" si="1"/>
        <v>——</v>
      </c>
      <c r="Q74" s="2035"/>
      <c r="R74" s="2035"/>
      <c r="S74" s="2035"/>
      <c r="T74" s="2035"/>
      <c r="U74" s="2035"/>
      <c r="V74" s="2035"/>
    </row>
    <row r="75" spans="1:22" ht="24">
      <c r="A75" s="362" t="s">
        <v>418</v>
      </c>
      <c r="B75" s="3262" t="s">
        <v>419</v>
      </c>
      <c r="C75" s="3263"/>
      <c r="D75" s="367">
        <v>0</v>
      </c>
      <c r="E75" s="41" t="s">
        <v>420</v>
      </c>
      <c r="F75" s="368"/>
      <c r="G75" s="364"/>
      <c r="H75" s="42"/>
      <c r="I75" s="42"/>
      <c r="J75" s="2042"/>
      <c r="K75" s="3094">
        <f>IF(H77="非个人房产","",4)</f>
        <v>4</v>
      </c>
      <c r="L75" s="3255" t="str">
        <f>IF(H77="非个人房产","——","个人所得税")</f>
        <v>个人所得税</v>
      </c>
      <c r="M75" s="3255"/>
      <c r="N75" s="1303">
        <f ca="1">D77</f>
        <v>70</v>
      </c>
      <c r="O75" s="1879" t="str">
        <f>E77</f>
        <v>销售额×税（费）率</v>
      </c>
      <c r="P75" s="1304">
        <f>F77</f>
        <v>0.01</v>
      </c>
      <c r="Q75" s="2035"/>
      <c r="R75" s="2035"/>
      <c r="S75" s="2035"/>
      <c r="T75" s="2035"/>
      <c r="U75" s="2035"/>
      <c r="V75" s="2035"/>
    </row>
    <row r="76" spans="1:22" ht="24.75">
      <c r="A76" s="362" t="s">
        <v>396</v>
      </c>
      <c r="B76" s="3262" t="s">
        <v>422</v>
      </c>
      <c r="C76" s="3304"/>
      <c r="D76" s="365">
        <f ca="1">IF(H76="转让取得",C99,C115)</f>
        <v>3306</v>
      </c>
      <c r="E76" s="17" t="s">
        <v>423</v>
      </c>
      <c r="F76" s="53" t="s">
        <v>21</v>
      </c>
      <c r="G76" s="364"/>
      <c r="H76" s="366" t="s">
        <v>424</v>
      </c>
      <c r="I76" s="42"/>
      <c r="J76" s="2042"/>
      <c r="K76" s="3094" t="str">
        <f>IF(项目基本情况!K6="上海银行",IF(K75="",4,K75+1),"")</f>
        <v/>
      </c>
      <c r="L76" s="3243" t="str">
        <f>IF(项目基本情况!K6="上海银行","其他处置费用","")</f>
        <v/>
      </c>
      <c r="M76" s="3244"/>
      <c r="N76" s="1299" t="str">
        <f>IF(项目基本情况!K6="上海银行",N89,"")</f>
        <v/>
      </c>
      <c r="O76" s="3245" t="str">
        <f>IF(项目基本情况!K6="上海银行","包含处置中涉及的律师、诉讼、拍卖、评估等费用","")</f>
        <v/>
      </c>
      <c r="P76" s="3246"/>
      <c r="Q76" s="2035"/>
      <c r="R76" s="2035"/>
      <c r="S76" s="2035"/>
      <c r="T76" s="2035"/>
      <c r="U76" s="2035"/>
      <c r="V76" s="2035"/>
    </row>
    <row r="77" spans="1:22" ht="26.25" thickBot="1">
      <c r="A77" s="3273" t="s">
        <v>426</v>
      </c>
      <c r="B77" s="3274"/>
      <c r="C77" s="3274"/>
      <c r="D77" s="369">
        <f ca="1">IF(H77="非个人房产","——",IF(H77="个人住宅",0,ROUND(D63*I77,0)))</f>
        <v>70</v>
      </c>
      <c r="E77" s="370" t="str">
        <f>IF(H77="非个人房产","——","销售额×税（费）率")</f>
        <v>销售额×税（费）率</v>
      </c>
      <c r="F77" s="371">
        <f>IF(H77="非个人房产","——",IF(H77="个人住宅","免征",I77))</f>
        <v>0.01</v>
      </c>
      <c r="G77" s="987" t="s">
        <v>417</v>
      </c>
      <c r="H77" s="366" t="s">
        <v>2902</v>
      </c>
      <c r="I77" s="372">
        <v>0.01</v>
      </c>
      <c r="J77" s="2042"/>
      <c r="K77" s="3269">
        <f>IF(AND(K75="",K76=""),4,IF(项目基本情况!K6="上海银行",K76+1,K75+1))</f>
        <v>5</v>
      </c>
      <c r="L77" s="3255" t="s">
        <v>2903</v>
      </c>
      <c r="M77" s="3100" t="s">
        <v>421</v>
      </c>
      <c r="N77" s="1305"/>
      <c r="O77" s="1306">
        <f ca="1">SUMIF(N72:N76,"&lt;9e307")</f>
        <v>3748</v>
      </c>
      <c r="P77" s="1307"/>
      <c r="Q77" s="3098" t="e">
        <f ca="1">O77/N69</f>
        <v>#VALUE!</v>
      </c>
      <c r="R77" s="2035"/>
      <c r="S77" s="2035"/>
      <c r="T77" s="2035"/>
      <c r="U77" s="2035"/>
      <c r="V77" s="2035"/>
    </row>
    <row r="78" spans="1:22" ht="12" customHeight="1">
      <c r="A78" s="1308"/>
      <c r="B78" s="314"/>
      <c r="C78" s="314"/>
      <c r="D78" s="314"/>
      <c r="E78" s="42"/>
      <c r="F78" s="42"/>
      <c r="G78" s="42"/>
      <c r="H78" s="1006"/>
      <c r="I78" s="314"/>
      <c r="J78" s="2042"/>
      <c r="K78" s="3269"/>
      <c r="L78" s="3255"/>
      <c r="M78" s="3100" t="s">
        <v>425</v>
      </c>
      <c r="N78" s="1305"/>
      <c r="O78" s="1306" t="str">
        <f ca="1">NUMBERSTRING(INT(O77*10000),2)&amp;"元整"</f>
        <v>叁仟柒佰肆拾捌万元整</v>
      </c>
      <c r="P78" s="1307"/>
      <c r="Q78" s="2035"/>
      <c r="R78" s="2035"/>
      <c r="S78" s="2035"/>
      <c r="T78" s="2035"/>
      <c r="U78" s="2035"/>
      <c r="V78" s="2035"/>
    </row>
    <row r="79" spans="1:22" ht="13.5" thickBot="1">
      <c r="A79" s="3259" t="s">
        <v>427</v>
      </c>
      <c r="B79" s="3259"/>
      <c r="C79" s="3259"/>
      <c r="D79" s="3259"/>
      <c r="E79" s="3259"/>
      <c r="F79" s="42"/>
      <c r="G79" s="42"/>
      <c r="H79" s="1006"/>
      <c r="I79" s="314"/>
      <c r="J79" s="2042"/>
      <c r="K79" s="3253">
        <f>K77+1</f>
        <v>6</v>
      </c>
      <c r="L79" s="3255" t="s">
        <v>2904</v>
      </c>
      <c r="M79" s="3100" t="s">
        <v>421</v>
      </c>
      <c r="N79" s="1305"/>
      <c r="O79" s="1306" t="e">
        <f ca="1">N69-O77</f>
        <v>#VALUE!</v>
      </c>
      <c r="P79" s="1307"/>
      <c r="Q79" s="2035"/>
      <c r="R79" s="2035"/>
      <c r="S79" s="2035"/>
      <c r="T79" s="2035"/>
      <c r="U79" s="2035"/>
      <c r="V79" s="2035"/>
    </row>
    <row r="80" spans="1:22" ht="12.75">
      <c r="A80" s="3260" t="s">
        <v>428</v>
      </c>
      <c r="B80" s="3261"/>
      <c r="C80" s="997"/>
      <c r="D80" s="997" t="s">
        <v>429</v>
      </c>
      <c r="E80" s="373" t="s">
        <v>430</v>
      </c>
      <c r="F80" s="42"/>
      <c r="G80" s="42"/>
      <c r="H80" s="1006"/>
      <c r="I80" s="314"/>
      <c r="J80" s="2035"/>
      <c r="K80" s="3254"/>
      <c r="L80" s="3255"/>
      <c r="M80" s="3100" t="s">
        <v>425</v>
      </c>
      <c r="N80" s="1305"/>
      <c r="O80" s="1306" t="e">
        <f ca="1">NUMBERSTRING(INT(O79*10000),2)&amp;"元整"</f>
        <v>#VALUE!</v>
      </c>
      <c r="P80" s="1307"/>
      <c r="Q80" s="2035"/>
      <c r="R80" s="2035"/>
      <c r="S80" s="2035"/>
      <c r="T80" s="2035"/>
      <c r="U80" s="2035"/>
      <c r="V80" s="2035"/>
    </row>
    <row r="81" spans="1:26" ht="13.5" thickBot="1">
      <c r="A81" s="384" t="s">
        <v>1828</v>
      </c>
      <c r="B81" s="374" t="s">
        <v>431</v>
      </c>
      <c r="C81" s="375">
        <f ca="1">ROUND((C82+C83)/(1+'数据-取费表'!C42),0)</f>
        <v>6636</v>
      </c>
      <c r="D81" s="376"/>
      <c r="E81" s="377"/>
      <c r="F81" s="42"/>
      <c r="G81" s="42"/>
      <c r="H81" s="1006"/>
      <c r="I81" s="314"/>
      <c r="J81" s="2035"/>
      <c r="K81" s="3094">
        <f>K79+1</f>
        <v>7</v>
      </c>
      <c r="L81" s="3267" t="s">
        <v>2905</v>
      </c>
      <c r="M81" s="3268"/>
      <c r="N81" s="1309"/>
      <c r="O81" s="1310" t="e">
        <f ca="1">ROUND(O79*10000/'数据-汇总表'!E3,0)</f>
        <v>#VALUE!</v>
      </c>
      <c r="P81" s="1311"/>
      <c r="Q81" s="2035"/>
      <c r="R81" s="2035"/>
      <c r="S81" s="2035"/>
      <c r="T81" s="2035"/>
      <c r="U81" s="2035"/>
      <c r="V81" s="2035"/>
    </row>
    <row r="82" spans="1:26" ht="13.5" thickTop="1">
      <c r="A82" s="378" t="s">
        <v>1829</v>
      </c>
      <c r="B82" s="379" t="s">
        <v>432</v>
      </c>
      <c r="C82" s="380">
        <f ca="1">D63</f>
        <v>6968</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42" t="s">
        <v>2892</v>
      </c>
      <c r="L83" s="3106" t="s">
        <v>2893</v>
      </c>
      <c r="M83" s="3096" t="e">
        <f>IF(N69&gt;10000,N69*0.5%,IF(AND(N69&gt;1000,N69&lt;=10000),N69*1%,IF(AND(N69&gt;100,N69&lt;=1000),N69*3%,IF(AND(N69&gt;10,N69&lt;=100),N69*5%,N69*8%))))</f>
        <v>#VALUE!</v>
      </c>
      <c r="N83" s="53" t="e">
        <f>ROUND(M83,1)</f>
        <v>#VALUE!</v>
      </c>
      <c r="O83" s="3099"/>
      <c r="P83" s="2035"/>
      <c r="Q83" s="2035"/>
      <c r="R83" s="2035"/>
      <c r="S83" s="2035"/>
      <c r="T83" s="2035"/>
      <c r="U83" s="2035"/>
      <c r="V83" s="2035"/>
    </row>
    <row r="84" spans="1:26" ht="12.75">
      <c r="A84" s="384" t="s">
        <v>1831</v>
      </c>
      <c r="B84" s="385" t="s">
        <v>434</v>
      </c>
      <c r="C84" s="386">
        <v>2000</v>
      </c>
      <c r="D84" s="387" t="s">
        <v>19</v>
      </c>
      <c r="E84" s="3141" t="s">
        <v>2962</v>
      </c>
      <c r="F84" s="42"/>
      <c r="G84" s="42"/>
      <c r="H84" s="1006"/>
      <c r="I84" s="314"/>
      <c r="J84" s="2035"/>
      <c r="K84" s="3242"/>
      <c r="L84" s="3106" t="s">
        <v>2894</v>
      </c>
      <c r="M84" s="30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5" t="s">
        <v>2895</v>
      </c>
      <c r="P84" s="2035"/>
      <c r="Q84" s="2035"/>
      <c r="R84" s="2035"/>
      <c r="S84" s="2035"/>
      <c r="T84" s="2035"/>
      <c r="U84" s="2035"/>
      <c r="V84" s="2035"/>
    </row>
    <row r="85" spans="1:26" ht="12.75">
      <c r="A85" s="384" t="s">
        <v>1832</v>
      </c>
      <c r="B85" s="385" t="s">
        <v>435</v>
      </c>
      <c r="C85" s="388">
        <f ca="1">C81-C84</f>
        <v>4636</v>
      </c>
      <c r="D85" s="381" t="s">
        <v>19</v>
      </c>
      <c r="E85" s="382"/>
      <c r="F85" s="42"/>
      <c r="G85" s="42"/>
      <c r="H85" s="1006"/>
      <c r="I85" s="314"/>
      <c r="J85" s="2035"/>
      <c r="K85" s="3242"/>
      <c r="L85" s="3106" t="s">
        <v>2896</v>
      </c>
      <c r="M85" s="3096" t="e">
        <f>IF(N69&gt;1000,N69*0.1%,IF(AND(N69&gt;500,N69&lt;=1000),N69*0.5%,IF(AND(N69&gt;50,N69&lt;=500),N69*1%,IF(AND(N69&gt;1,N69&lt;=50),N69*1.5%))))</f>
        <v>#VALUE!</v>
      </c>
      <c r="N85" s="53" t="e">
        <f t="shared" si="2"/>
        <v>#VALUE!</v>
      </c>
      <c r="O85" s="2035" t="s">
        <v>2895</v>
      </c>
      <c r="P85" s="2035"/>
      <c r="Q85" s="2035"/>
      <c r="R85" s="2035"/>
      <c r="S85" s="2035"/>
      <c r="T85" s="2035"/>
      <c r="U85" s="2035"/>
      <c r="V85" s="2035"/>
    </row>
    <row r="86" spans="1:26" ht="13.5" thickBot="1">
      <c r="A86" s="389" t="s">
        <v>1833</v>
      </c>
      <c r="B86" s="390" t="s">
        <v>436</v>
      </c>
      <c r="C86" s="391">
        <f ca="1">IF(C85&lt;=0,0,ROUND(C85*D86,0))</f>
        <v>260</v>
      </c>
      <c r="D86" s="392">
        <f>'数据-取费表'!B41</f>
        <v>5.6000000000000001E-2</v>
      </c>
      <c r="E86" s="393"/>
      <c r="F86" s="42"/>
      <c r="G86" s="42"/>
      <c r="H86" s="1006"/>
      <c r="I86" s="314"/>
      <c r="J86" s="2035"/>
      <c r="K86" s="3242"/>
      <c r="L86" s="3106" t="s">
        <v>2897</v>
      </c>
      <c r="M86" s="3096" t="e">
        <f>N69*0.5%</f>
        <v>#VALUE!</v>
      </c>
      <c r="N86" s="53" t="e">
        <f>IF(M86&gt;0.5,0.5,ROUND(M86,0))</f>
        <v>#VALUE!</v>
      </c>
      <c r="O86" s="2035" t="s">
        <v>2898</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42"/>
      <c r="L87" s="3106" t="s">
        <v>2899</v>
      </c>
      <c r="M87" s="30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9"/>
      <c r="P87" s="314"/>
      <c r="Q87" s="2035"/>
      <c r="R87" s="2035"/>
      <c r="S87" s="2035"/>
      <c r="T87" s="2035"/>
      <c r="U87" s="2035"/>
      <c r="V87" s="2035"/>
      <c r="W87" s="292"/>
      <c r="X87" s="292"/>
      <c r="Y87" s="292"/>
      <c r="Z87" s="292"/>
    </row>
    <row r="88" spans="1:26" s="1317" customFormat="1" ht="15" thickBot="1">
      <c r="A88" s="3296" t="s">
        <v>437</v>
      </c>
      <c r="B88" s="3297"/>
      <c r="C88" s="3297"/>
      <c r="D88" s="3297"/>
      <c r="E88" s="3297"/>
      <c r="F88" s="3297"/>
      <c r="G88" s="3297"/>
      <c r="H88" s="3297"/>
      <c r="I88" s="1318"/>
      <c r="J88" s="2043"/>
      <c r="K88" s="3242"/>
      <c r="L88" s="3106" t="s">
        <v>2900</v>
      </c>
      <c r="M88" s="3096" t="e">
        <f>IF(N69&gt;10000,N69*0.5%,IF(AND(N69&gt;5000,N69&lt;=10000),N69*1%,IF(AND(N69&gt;1000,N69&lt;=5000),N69*2%,IF(AND(N69&gt;200,N69&lt;=1000),N69*3%,N69*5%))))</f>
        <v>#VALUE!</v>
      </c>
      <c r="N88" s="53" t="e">
        <f>ROUND(M88,1)</f>
        <v>#VALUE!</v>
      </c>
      <c r="O88" s="3099"/>
      <c r="P88" s="11"/>
      <c r="Q88" s="2040"/>
      <c r="R88" s="2040"/>
      <c r="S88" s="2040"/>
      <c r="T88" s="2040"/>
      <c r="U88" s="2040"/>
      <c r="V88" s="2040"/>
      <c r="W88" s="2044"/>
      <c r="X88" s="2044"/>
      <c r="Y88" s="2044"/>
      <c r="Z88" s="2044"/>
    </row>
    <row r="89" spans="1:26" s="1317" customFormat="1" ht="14.25">
      <c r="A89" s="3260" t="s">
        <v>428</v>
      </c>
      <c r="B89" s="3261"/>
      <c r="C89" s="997"/>
      <c r="D89" s="997" t="s">
        <v>429</v>
      </c>
      <c r="E89" s="394" t="s">
        <v>438</v>
      </c>
      <c r="F89" s="395"/>
      <c r="G89" s="395"/>
      <c r="H89" s="396"/>
      <c r="I89" s="1319"/>
      <c r="J89" s="2045"/>
      <c r="K89" s="3242"/>
      <c r="L89" s="3106" t="s">
        <v>27</v>
      </c>
      <c r="M89" s="3097"/>
      <c r="N89" s="53" t="e">
        <f>ROUND(SUM(N83:N88),0)</f>
        <v>#VALUE!</v>
      </c>
      <c r="O89" s="3107" t="e">
        <f>N89/N69</f>
        <v>#VALUE!</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6636</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2540</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93" t="s">
        <v>447</v>
      </c>
      <c r="F94" s="3294"/>
      <c r="G94" s="3294"/>
      <c r="H94" s="3295"/>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2442</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40</v>
      </c>
      <c r="D96" s="409">
        <f>'数据-取费表'!B43</f>
        <v>6.000000000000001E-3</v>
      </c>
      <c r="E96" s="3283" t="s">
        <v>2441</v>
      </c>
      <c r="F96" s="3284"/>
      <c r="G96" s="3284"/>
      <c r="H96" s="3285"/>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4096</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1.6125984251968504</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1667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96" t="s">
        <v>454</v>
      </c>
      <c r="B101" s="3297"/>
      <c r="C101" s="3297"/>
      <c r="D101" s="3297"/>
      <c r="E101" s="3297"/>
      <c r="F101" s="3297"/>
      <c r="G101" s="3297"/>
      <c r="H101" s="3297"/>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60" t="s">
        <v>428</v>
      </c>
      <c r="B102" s="3261"/>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6636</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711</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2452</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6" t="s">
        <v>462</v>
      </c>
      <c r="F109" s="3284"/>
      <c r="G109" s="3284"/>
      <c r="H109" s="1948" t="s">
        <v>2290</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6" t="s">
        <v>464</v>
      </c>
      <c r="F110" s="3284"/>
      <c r="G110" s="3284"/>
      <c r="H110" s="3285"/>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40</v>
      </c>
      <c r="D111" s="409">
        <f>'数据-取费表'!B43</f>
        <v>6.000000000000001E-3</v>
      </c>
      <c r="E111" s="3283" t="s">
        <v>2441</v>
      </c>
      <c r="F111" s="3284"/>
      <c r="G111" s="3284"/>
      <c r="H111" s="3285"/>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6" t="s">
        <v>2466</v>
      </c>
      <c r="F112" s="3284"/>
      <c r="G112" s="3284"/>
      <c r="H112" s="3285"/>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5925</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8.3333333333333339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3306</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2" sqref="E22"/>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t="s">
        <v>926</v>
      </c>
      <c r="C1" s="2115"/>
      <c r="D1" s="2115"/>
      <c r="E1" s="2115"/>
      <c r="F1" s="2115"/>
      <c r="G1" s="2115"/>
      <c r="H1" s="2115"/>
      <c r="I1" s="2115"/>
      <c r="J1" s="2115"/>
      <c r="K1" s="425">
        <f>MATCH(B1,'数据-取费表'!A6:A16,0)+5</f>
        <v>6</v>
      </c>
    </row>
    <row r="2" spans="1:31" s="2048" customFormat="1" ht="18" customHeight="1">
      <c r="A2" s="2112" t="s">
        <v>467</v>
      </c>
      <c r="B2" s="2116">
        <f ca="1">C36</f>
        <v>12972</v>
      </c>
      <c r="C2" s="2115"/>
      <c r="D2" s="2115"/>
      <c r="E2" s="2115"/>
      <c r="F2" s="2115"/>
      <c r="G2" s="2115"/>
      <c r="H2" s="2115"/>
      <c r="I2" s="2115"/>
      <c r="J2" s="2115"/>
      <c r="K2" s="2115"/>
    </row>
    <row r="3" spans="1:31" s="2048" customFormat="1" ht="18" customHeight="1">
      <c r="A3" s="2117" t="s">
        <v>1688</v>
      </c>
      <c r="B3" s="2118">
        <f ca="1">ROUND(B2*10000/IF(B1="",'数据-汇总表'!E3,INDIRECT("'数据-取费表'!K"&amp;$K$1)),0)</f>
        <v>666</v>
      </c>
      <c r="C3" s="2115"/>
      <c r="D3" s="2115"/>
      <c r="E3" s="2115"/>
      <c r="F3" s="2115"/>
      <c r="G3" s="2115"/>
      <c r="H3" s="2115"/>
      <c r="I3" s="2115"/>
      <c r="J3" s="2115"/>
      <c r="K3" s="2115"/>
    </row>
    <row r="4" spans="1:31" s="2048" customFormat="1" ht="18" customHeight="1">
      <c r="A4" s="429" t="s">
        <v>468</v>
      </c>
      <c r="B4" s="430">
        <f ca="1">ROUND(B2*10000/IF(B1="",'数据-汇总表'!D3,INDIRECT("'数据-取费表'!R"&amp;$K$1)),0)</f>
        <v>1265</v>
      </c>
      <c r="C4" s="431"/>
      <c r="D4" s="425"/>
      <c r="E4" s="425"/>
      <c r="F4" s="425"/>
      <c r="G4" s="425"/>
      <c r="H4" s="425"/>
      <c r="I4" s="425"/>
      <c r="J4" s="425"/>
      <c r="K4" s="425"/>
    </row>
    <row r="5" spans="1:31" s="2048" customFormat="1" ht="18" customHeight="1" thickBot="1">
      <c r="A5" s="432"/>
      <c r="B5" s="433">
        <f ca="1">ROUND(B2/(IF(B1="",'数据-汇总表'!D3,INDIRECT("'数据-取费表'!R"&amp;$K$1))/666.67),0)</f>
        <v>84</v>
      </c>
      <c r="C5" s="434" t="s">
        <v>469</v>
      </c>
      <c r="D5" s="425"/>
      <c r="E5" s="425"/>
      <c r="F5" s="425"/>
      <c r="G5" s="425"/>
      <c r="H5" s="425"/>
      <c r="I5" s="425"/>
      <c r="J5" s="425"/>
      <c r="K5" s="425"/>
    </row>
    <row r="6" spans="1:31" s="2122" customFormat="1" ht="16.5" customHeight="1">
      <c r="A6" s="2868" t="s">
        <v>1847</v>
      </c>
      <c r="B6" s="2869"/>
      <c r="C6" s="2870">
        <f>SUM(C10:K10)</f>
        <v>107170</v>
      </c>
      <c r="D6" s="2869"/>
      <c r="E6" s="2869"/>
      <c r="F6" s="2869"/>
      <c r="G6" s="2869"/>
      <c r="H6" s="2869"/>
      <c r="I6" s="2869"/>
      <c r="J6" s="2869"/>
      <c r="K6" s="2871"/>
    </row>
    <row r="7" spans="1:31" s="2124" customFormat="1" ht="15">
      <c r="A7" s="2872" t="s">
        <v>470</v>
      </c>
      <c r="B7" s="2873" t="s">
        <v>471</v>
      </c>
      <c r="C7" s="439" t="s">
        <v>926</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3153">
        <v>5500</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194854.22</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ROUND(C8*C9/10000,0)</f>
        <v>107170</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48714</v>
      </c>
      <c r="D13" s="2884"/>
      <c r="E13" s="2885"/>
      <c r="F13" s="2886"/>
      <c r="G13" s="2852"/>
      <c r="H13" s="2853"/>
      <c r="I13" s="2853"/>
      <c r="J13" s="2853"/>
      <c r="K13" s="2854"/>
    </row>
    <row r="14" spans="1:31" s="2127" customFormat="1" ht="13.5" customHeight="1">
      <c r="A14" s="2882" t="s">
        <v>1854</v>
      </c>
      <c r="B14" s="2883" t="s">
        <v>480</v>
      </c>
      <c r="C14" s="53">
        <f ca="1">ROUND(C13*F14,0)</f>
        <v>2436</v>
      </c>
      <c r="D14" s="2884"/>
      <c r="E14" s="2885"/>
      <c r="F14" s="2887">
        <f>'数据-取费表'!B33</f>
        <v>0.05</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4871</v>
      </c>
      <c r="D15" s="2884"/>
      <c r="E15" s="2885"/>
      <c r="F15" s="2887">
        <f>'数据-取费表'!B34</f>
        <v>0.1</v>
      </c>
      <c r="G15" s="2852" t="s">
        <v>483</v>
      </c>
      <c r="H15" s="2853"/>
      <c r="I15" s="2853"/>
      <c r="J15" s="2853"/>
      <c r="K15" s="2854"/>
    </row>
    <row r="16" spans="1:31" s="2128" customFormat="1" ht="13.5" customHeight="1">
      <c r="A16" s="2882" t="s">
        <v>1856</v>
      </c>
      <c r="B16" s="2883" t="s">
        <v>484</v>
      </c>
      <c r="C16" s="53">
        <f ca="1">ROUND(D16*E16/10000,0)</f>
        <v>2923</v>
      </c>
      <c r="D16" s="2884">
        <f ca="1">IF(B1="",'数据-汇总表'!E3,INDIRECT("'数据-取费表'!K"&amp;$K$1)+INDIRECT("'数据-取费表'!S"&amp;$K$1))</f>
        <v>194854.22</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731</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59675</v>
      </c>
      <c r="D18" s="2893"/>
      <c r="E18" s="471"/>
      <c r="F18" s="471"/>
      <c r="G18" s="2856" t="s">
        <v>2443</v>
      </c>
      <c r="H18" s="2857"/>
      <c r="I18" s="2857"/>
      <c r="J18" s="2857"/>
      <c r="K18" s="2858"/>
    </row>
    <row r="19" spans="1:14" s="2127" customFormat="1" ht="13.5" customHeight="1">
      <c r="A19" s="2890" t="s">
        <v>1859</v>
      </c>
      <c r="B19" s="2891" t="s">
        <v>488</v>
      </c>
      <c r="C19" s="2848">
        <f ca="1">ROUND(D19*E19/10000,0)</f>
        <v>2923</v>
      </c>
      <c r="D19" s="2894">
        <f ca="1">D16</f>
        <v>194854.22</v>
      </c>
      <c r="E19" s="2848">
        <f>'数据-取费表'!B32</f>
        <v>150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0</v>
      </c>
      <c r="D20" s="2894"/>
      <c r="E20" s="2848"/>
      <c r="F20" s="2895"/>
      <c r="G20" s="3129"/>
      <c r="H20" s="2850"/>
      <c r="I20" s="2851" t="s">
        <v>2669</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194854.22</v>
      </c>
      <c r="E21" s="53">
        <f>'数据-取费表'!B27</f>
        <v>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0</v>
      </c>
      <c r="E22" s="53">
        <f>'数据-取费表'!B28</f>
        <v>0</v>
      </c>
      <c r="F22" s="2887"/>
      <c r="G22" s="26"/>
      <c r="H22" s="51"/>
      <c r="I22" s="51"/>
      <c r="J22" s="51"/>
      <c r="K22" s="2859"/>
    </row>
    <row r="23" spans="1:14" s="2127" customFormat="1" ht="13.5" customHeight="1">
      <c r="A23" s="2890" t="s">
        <v>1863</v>
      </c>
      <c r="B23" s="3075" t="s">
        <v>2852</v>
      </c>
      <c r="C23" s="2892">
        <f ca="1">ROUND((C18+C19+C20)*F23,0)</f>
        <v>1252</v>
      </c>
      <c r="D23" s="471"/>
      <c r="E23" s="471"/>
      <c r="F23" s="2896">
        <f>'数据-取费表'!B37</f>
        <v>0.02</v>
      </c>
      <c r="G23" s="2852" t="s">
        <v>2444</v>
      </c>
      <c r="H23" s="2853"/>
      <c r="I23" s="2853"/>
      <c r="J23" s="2853"/>
      <c r="K23" s="2854"/>
      <c r="L23" s="2129"/>
      <c r="M23" s="2129"/>
      <c r="N23" s="2129"/>
    </row>
    <row r="24" spans="1:14" s="2127" customFormat="1" ht="13.5" customHeight="1">
      <c r="A24" s="2890" t="s">
        <v>1864</v>
      </c>
      <c r="B24" s="3075" t="s">
        <v>2855</v>
      </c>
      <c r="C24" s="2892">
        <f>ROUND(C6*F24,0)</f>
        <v>2143</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2853</v>
      </c>
      <c r="C25" s="470">
        <f>ROUND(F25/(1+'数据-取费表'!C42),4)</f>
        <v>0</v>
      </c>
      <c r="D25" s="465" t="s">
        <v>2847</v>
      </c>
      <c r="E25" s="472"/>
      <c r="F25" s="2896">
        <f>'数据-取费表'!B48+'数据-取费表'!B49</f>
        <v>0</v>
      </c>
      <c r="G25" s="2860" t="s">
        <v>2300</v>
      </c>
      <c r="H25" s="2853"/>
      <c r="I25" s="2853"/>
      <c r="J25" s="2853"/>
      <c r="K25" s="2854"/>
    </row>
    <row r="26" spans="1:14" s="2129" customFormat="1" ht="13.5" customHeight="1">
      <c r="A26" s="2890" t="s">
        <v>1866</v>
      </c>
      <c r="B26" s="3076" t="s">
        <v>2854</v>
      </c>
      <c r="C26" s="2897">
        <f ca="1">C28</f>
        <v>4757</v>
      </c>
      <c r="D26" s="470">
        <f ca="1">C27</f>
        <v>0.14940000000000001</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0.14940000000000001</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2856</v>
      </c>
      <c r="C28" s="2900">
        <f ca="1">ROUND(IF('数据-取费表'!B22&lt;=1,(C18+C19+C20+C23+C24)*F26*'数据-取费表'!B24/2,(C18+C19+C20+C23+C24)*(POWER((1+F26),'数据-取费表'!B24/2)-1)),0)</f>
        <v>4757</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ROUND(C6*F29/(1+'数据-取费表'!C42),0)</f>
        <v>5716</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76466</v>
      </c>
      <c r="D30" s="480">
        <f ca="1">C32</f>
        <v>0.14940000000000001</v>
      </c>
      <c r="E30" s="472" t="s">
        <v>495</v>
      </c>
      <c r="F30" s="474"/>
      <c r="G30" s="2852" t="s">
        <v>501</v>
      </c>
      <c r="H30" s="2853"/>
      <c r="I30" s="2853"/>
      <c r="J30" s="2853"/>
      <c r="K30" s="2854"/>
    </row>
    <row r="31" spans="1:14" s="2131" customFormat="1" ht="13.5" customHeight="1">
      <c r="A31" s="806" t="s">
        <v>1861</v>
      </c>
      <c r="B31" s="2898"/>
      <c r="C31" s="453">
        <f ca="1">C18+C19+C20+C23+C24+C26+C29</f>
        <v>76466</v>
      </c>
      <c r="D31" s="475"/>
      <c r="E31" s="476"/>
      <c r="F31" s="477"/>
      <c r="G31" s="261"/>
      <c r="H31" s="2855"/>
      <c r="I31" s="2855"/>
      <c r="J31" s="2855"/>
      <c r="K31" s="279"/>
    </row>
    <row r="32" spans="1:14" s="2131" customFormat="1" ht="13.5" customHeight="1">
      <c r="A32" s="806" t="s">
        <v>1862</v>
      </c>
      <c r="B32" s="2898"/>
      <c r="C32" s="53">
        <f ca="1">ROUND(C25+D26,4)</f>
        <v>0.14940000000000001</v>
      </c>
      <c r="D32" s="475"/>
      <c r="E32" s="476"/>
      <c r="F32" s="477"/>
      <c r="G32" s="261"/>
      <c r="H32" s="2855"/>
      <c r="I32" s="2855"/>
      <c r="J32" s="2855"/>
      <c r="K32" s="279"/>
    </row>
    <row r="33" spans="1:11" s="2133" customFormat="1" ht="13.5" customHeight="1">
      <c r="A33" s="3074" t="s">
        <v>2851</v>
      </c>
      <c r="B33" s="3072" t="s">
        <v>2849</v>
      </c>
      <c r="C33" s="481">
        <f ca="1">C35</f>
        <v>13199</v>
      </c>
      <c r="D33" s="470">
        <f ca="1">C34</f>
        <v>0.2</v>
      </c>
      <c r="E33" s="472" t="s">
        <v>495</v>
      </c>
      <c r="F33" s="482">
        <f ca="1">IF(B1="",'数据-取费表'!Q16,INDIRECT("'数据-取费表'!q"&amp;$K$1))</f>
        <v>0.2</v>
      </c>
      <c r="G33" s="2856"/>
      <c r="H33" s="2857"/>
      <c r="I33" s="2857"/>
      <c r="J33" s="2857"/>
      <c r="K33" s="2858"/>
    </row>
    <row r="34" spans="1:11" s="2134" customFormat="1" ht="13.5" customHeight="1">
      <c r="A34" s="378" t="s">
        <v>1861</v>
      </c>
      <c r="B34" s="2903" t="s">
        <v>502</v>
      </c>
      <c r="C34" s="475">
        <f ca="1">ROUND((1+C25)*F33,4)</f>
        <v>0.2</v>
      </c>
      <c r="D34" s="475"/>
      <c r="E34" s="476"/>
      <c r="F34" s="483"/>
      <c r="G34" s="261" t="s">
        <v>2301</v>
      </c>
      <c r="H34" s="2855"/>
      <c r="I34" s="2855"/>
      <c r="J34" s="2855"/>
      <c r="K34" s="279"/>
    </row>
    <row r="35" spans="1:11" s="2134" customFormat="1" ht="13.5" customHeight="1" thickBot="1">
      <c r="A35" s="1642" t="s">
        <v>1862</v>
      </c>
      <c r="B35" s="3073" t="s">
        <v>2857</v>
      </c>
      <c r="C35" s="1634">
        <f ca="1">ROUND((C18+C19+C20+C23+C24)*F33,0)</f>
        <v>13199</v>
      </c>
      <c r="D35" s="1635"/>
      <c r="E35" s="2904"/>
      <c r="F35" s="1636"/>
      <c r="G35" s="2862"/>
      <c r="H35" s="2863"/>
      <c r="I35" s="2863"/>
      <c r="J35" s="2863"/>
      <c r="K35" s="2864"/>
    </row>
    <row r="36" spans="1:11" s="2093" customFormat="1" ht="13.5" customHeight="1" thickBot="1">
      <c r="A36" s="284" t="s">
        <v>1849</v>
      </c>
      <c r="B36" s="2866"/>
      <c r="C36" s="2905">
        <f ca="1">ROUND((C6-C30-C33)/(1+D30+D33),0)</f>
        <v>12972</v>
      </c>
      <c r="D36" s="2866"/>
      <c r="E36" s="2866"/>
      <c r="F36" s="2866"/>
      <c r="G36" s="2865" t="s">
        <v>2858</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2670</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48714</v>
      </c>
      <c r="D13" s="454"/>
      <c r="E13" s="368"/>
      <c r="F13" s="455"/>
      <c r="G13" s="447"/>
      <c r="H13" s="450"/>
      <c r="I13" s="450"/>
      <c r="J13" s="450"/>
      <c r="K13" s="451"/>
    </row>
    <row r="14" spans="1:41" s="2127" customFormat="1" ht="13.5" customHeight="1">
      <c r="A14" s="1639" t="s">
        <v>1854</v>
      </c>
      <c r="B14" s="452" t="s">
        <v>480</v>
      </c>
      <c r="C14" s="53">
        <f ca="1">ROUND(C13*F14,0)</f>
        <v>2436</v>
      </c>
      <c r="D14" s="454"/>
      <c r="E14" s="368"/>
      <c r="F14" s="456">
        <f>'数据-取费表'!B33</f>
        <v>0.05</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4871</v>
      </c>
      <c r="D15" s="454"/>
      <c r="E15" s="368"/>
      <c r="F15" s="456">
        <f>'数据-取费表'!B34</f>
        <v>0.1</v>
      </c>
      <c r="G15" s="447" t="s">
        <v>503</v>
      </c>
      <c r="H15" s="450"/>
      <c r="I15" s="450"/>
      <c r="J15" s="450"/>
      <c r="K15" s="451"/>
    </row>
    <row r="16" spans="1:41" s="2128" customFormat="1" ht="13.5" customHeight="1">
      <c r="A16" s="1639" t="s">
        <v>1856</v>
      </c>
      <c r="B16" s="452" t="s">
        <v>484</v>
      </c>
      <c r="C16" s="53">
        <f ca="1">ROUND(D16*E16/10000,0)</f>
        <v>3077</v>
      </c>
      <c r="D16" s="454">
        <f ca="1">IF(B1="",'数据-汇总表'!E3,INDIRECT("'数据-取费表'!K"&amp;$K$1)+INDIRECT("'数据-取费表'!S"&amp;$K$1))</f>
        <v>205109.7</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731</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59829</v>
      </c>
      <c r="D18" s="464"/>
      <c r="E18" s="465"/>
      <c r="F18" s="465"/>
      <c r="G18" s="1330" t="s">
        <v>2445</v>
      </c>
      <c r="H18" s="450"/>
      <c r="I18" s="450"/>
      <c r="J18" s="450"/>
      <c r="K18" s="451"/>
    </row>
    <row r="19" spans="1:14" s="2130" customFormat="1" ht="13.5" customHeight="1">
      <c r="A19" s="1640" t="s">
        <v>1859</v>
      </c>
      <c r="B19" s="462" t="s">
        <v>493</v>
      </c>
      <c r="C19" s="463">
        <f ca="1">ROUND(C18*F19,0)</f>
        <v>1197</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4399</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2467</v>
      </c>
    </row>
    <row r="22" spans="1:14" s="2131" customFormat="1" ht="13.5" customHeight="1">
      <c r="A22" s="1639" t="s">
        <v>1853</v>
      </c>
      <c r="B22" s="1331" t="s">
        <v>2448</v>
      </c>
      <c r="C22" s="490">
        <f ca="1">ROUND(IF('数据-取费表'!B22&lt;=1,(C18+C19)*F21*'数据-取费表'!B20/2,(C18+C19)*(POWER((1+F21),'数据-取费表'!B20/2)-1)),0)</f>
        <v>4399</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1.4E-3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2850</v>
      </c>
      <c r="C24" s="481">
        <f ca="1">C25</f>
        <v>12205</v>
      </c>
      <c r="D24" s="492">
        <f ca="1">C26</f>
        <v>4.0000000000000001E-3</v>
      </c>
      <c r="E24" s="472" t="s">
        <v>508</v>
      </c>
      <c r="F24" s="482">
        <f ca="1">IF(B1="",'数据-取费表'!Q16,INDIRECT("'数据-取费表'!q"&amp;$K$1))</f>
        <v>0.2</v>
      </c>
      <c r="G24" s="447"/>
      <c r="H24" s="450"/>
      <c r="I24" s="450"/>
      <c r="J24" s="450"/>
      <c r="K24" s="451"/>
    </row>
    <row r="25" spans="1:14" s="2131" customFormat="1" ht="13.5" customHeight="1">
      <c r="A25" s="1639" t="s">
        <v>1853</v>
      </c>
      <c r="B25" s="1331" t="s">
        <v>2449</v>
      </c>
      <c r="C25" s="493">
        <f ca="1">ROUND((C18+C19)*F24,0)</f>
        <v>12205</v>
      </c>
      <c r="D25" s="475"/>
      <c r="E25" s="476"/>
      <c r="F25" s="483"/>
      <c r="G25" s="1329" t="s">
        <v>2446</v>
      </c>
      <c r="H25" s="460"/>
      <c r="I25" s="460"/>
      <c r="J25" s="460"/>
      <c r="K25" s="461"/>
    </row>
    <row r="26" spans="1:14" s="2131" customFormat="1" ht="13.5" customHeight="1">
      <c r="A26" s="1639" t="s">
        <v>1854</v>
      </c>
      <c r="B26" s="1331" t="s">
        <v>510</v>
      </c>
      <c r="C26" s="494">
        <f ca="1">ROUND(F20*F24,4)</f>
        <v>4.0000000000000001E-3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2848</v>
      </c>
      <c r="E27" s="465"/>
      <c r="F27" s="469">
        <f>'数据-取费表'!B41</f>
        <v>5.6000000000000001E-2</v>
      </c>
      <c r="G27" s="1967" t="s">
        <v>2302</v>
      </c>
      <c r="H27" s="450"/>
      <c r="I27" s="450"/>
      <c r="J27" s="450"/>
      <c r="K27" s="451"/>
    </row>
    <row r="28" spans="1:14" s="2132" customFormat="1" ht="13.5" customHeight="1">
      <c r="A28" s="1643" t="s">
        <v>1873</v>
      </c>
      <c r="B28" s="479" t="s">
        <v>513</v>
      </c>
      <c r="C28" s="473">
        <f ca="1">ROUND((C18+C19+C21+C24)/(1-C20-D21-D24-C27),0)</f>
        <v>84261</v>
      </c>
      <c r="D28" s="480"/>
      <c r="E28" s="472"/>
      <c r="F28" s="474"/>
      <c r="G28" s="1330" t="s">
        <v>2447</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4" t="str">
        <f>项目基本情况!B1</f>
        <v>出让国有建设用地使用权预评估</v>
      </c>
      <c r="C37" s="3154"/>
      <c r="D37" s="3154"/>
      <c r="E37" s="3154"/>
      <c r="F37" s="3154"/>
      <c r="G37" s="3154"/>
      <c r="H37" s="3154"/>
      <c r="I37" s="3154"/>
    </row>
    <row r="38" spans="1:9">
      <c r="A38" s="1662"/>
      <c r="B38" s="1662"/>
    </row>
    <row r="39" spans="1:9">
      <c r="A39" s="1660" t="s">
        <v>1906</v>
      </c>
      <c r="B39" s="1660" t="s">
        <v>2057</v>
      </c>
    </row>
    <row r="40" spans="1:9">
      <c r="A40" s="1660"/>
      <c r="B40" s="1660">
        <f>项目基本情况!B5</f>
        <v>0</v>
      </c>
    </row>
    <row r="41" spans="1:9">
      <c r="A41" s="1660"/>
      <c r="B41" s="1660"/>
    </row>
    <row r="42" spans="1:9">
      <c r="A42" s="1660" t="s">
        <v>1906</v>
      </c>
      <c r="B42" s="1660" t="s">
        <v>2058</v>
      </c>
    </row>
    <row r="43" spans="1:9">
      <c r="A43" s="1660"/>
      <c r="B43" s="1660" t="s">
        <v>1908</v>
      </c>
    </row>
    <row r="44" spans="1:9">
      <c r="A44" s="1660"/>
      <c r="B44" s="1660"/>
    </row>
    <row r="45" spans="1:9">
      <c r="A45" s="1660" t="s">
        <v>1906</v>
      </c>
      <c r="B45" s="1660" t="s">
        <v>2056</v>
      </c>
    </row>
    <row r="46" spans="1:9" s="1660" customFormat="1" ht="12.75">
      <c r="B46" s="1660" t="str">
        <f>项目基本情况!K4</f>
        <v>土地估价师、土地估价师</v>
      </c>
    </row>
    <row r="47" spans="1:9">
      <c r="A47" s="1660"/>
      <c r="B47" s="1660"/>
    </row>
    <row r="48" spans="1:9">
      <c r="A48" s="1660" t="s">
        <v>1906</v>
      </c>
      <c r="B48" s="1660" t="s">
        <v>2059</v>
      </c>
    </row>
    <row r="49" spans="2:2">
      <c r="B49" s="166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91" zoomScale="80" zoomScaleNormal="95" zoomScaleSheetLayoutView="80" workbookViewId="0">
      <selection activeCell="G121" sqref="G12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10255</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500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1000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67</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41" t="s">
        <v>523</v>
      </c>
      <c r="D6" s="3342"/>
      <c r="E6" s="3341" t="s">
        <v>524</v>
      </c>
      <c r="F6" s="3342"/>
      <c r="G6" s="3341" t="s">
        <v>525</v>
      </c>
      <c r="H6" s="3342"/>
      <c r="I6" s="3341" t="s">
        <v>526</v>
      </c>
      <c r="J6" s="3342"/>
      <c r="K6" s="517" t="s">
        <v>527</v>
      </c>
      <c r="L6" s="2144"/>
      <c r="M6" s="2143"/>
      <c r="N6" s="2143"/>
      <c r="O6" s="2145"/>
      <c r="P6" s="3343" t="s">
        <v>528</v>
      </c>
      <c r="Q6" s="3344"/>
      <c r="R6" s="3329" t="s">
        <v>524</v>
      </c>
      <c r="S6" s="3330"/>
      <c r="T6" s="3329" t="s">
        <v>525</v>
      </c>
      <c r="U6" s="3330"/>
      <c r="V6" s="3349" t="s">
        <v>526</v>
      </c>
      <c r="W6" s="3349"/>
      <c r="X6" s="1573"/>
      <c r="Y6" s="3329" t="s">
        <v>528</v>
      </c>
      <c r="Z6" s="3330"/>
      <c r="AA6" s="3324" t="s">
        <v>524</v>
      </c>
      <c r="AB6" s="3325" t="s">
        <v>525</v>
      </c>
      <c r="AC6" s="3324" t="s">
        <v>526</v>
      </c>
    </row>
    <row r="7" spans="1:30" ht="20.25">
      <c r="A7" s="518"/>
      <c r="B7" s="519"/>
      <c r="C7" s="3352" t="s">
        <v>2949</v>
      </c>
      <c r="D7" s="3353"/>
      <c r="E7" s="3352" t="s">
        <v>2950</v>
      </c>
      <c r="F7" s="3353"/>
      <c r="G7" s="3352" t="s">
        <v>2951</v>
      </c>
      <c r="H7" s="3353"/>
      <c r="I7" s="3352" t="s">
        <v>2952</v>
      </c>
      <c r="J7" s="3353"/>
      <c r="K7" s="517"/>
      <c r="L7" s="2144"/>
      <c r="M7" s="2143"/>
      <c r="N7" s="2143"/>
      <c r="O7" s="2145"/>
      <c r="P7" s="3345"/>
      <c r="Q7" s="3346"/>
      <c r="R7" s="3331"/>
      <c r="S7" s="3332"/>
      <c r="T7" s="3331"/>
      <c r="U7" s="3332"/>
      <c r="V7" s="3349"/>
      <c r="W7" s="3349"/>
      <c r="X7" s="1573"/>
      <c r="Y7" s="3331"/>
      <c r="Z7" s="3332"/>
      <c r="AA7" s="3325"/>
      <c r="AB7" s="3325"/>
      <c r="AC7" s="3325"/>
    </row>
    <row r="8" spans="1:30" ht="21" thickBot="1">
      <c r="A8" s="518"/>
      <c r="B8" s="519"/>
      <c r="C8" s="3354" t="s">
        <v>2953</v>
      </c>
      <c r="D8" s="3355"/>
      <c r="E8" s="3354" t="s">
        <v>2953</v>
      </c>
      <c r="F8" s="3355"/>
      <c r="G8" s="3350" t="s">
        <v>2953</v>
      </c>
      <c r="H8" s="3351"/>
      <c r="I8" s="3350" t="s">
        <v>2953</v>
      </c>
      <c r="J8" s="3351"/>
      <c r="K8" s="517" t="s">
        <v>529</v>
      </c>
      <c r="L8" s="2144"/>
      <c r="M8" s="2143"/>
      <c r="N8" s="2143"/>
      <c r="O8" s="2145"/>
      <c r="P8" s="3347"/>
      <c r="Q8" s="3348"/>
      <c r="R8" s="3331"/>
      <c r="S8" s="3332"/>
      <c r="T8" s="3333"/>
      <c r="U8" s="3334"/>
      <c r="V8" s="3349"/>
      <c r="W8" s="3349"/>
      <c r="X8" s="1573"/>
      <c r="Y8" s="3333"/>
      <c r="Z8" s="3334"/>
      <c r="AA8" s="3326"/>
      <c r="AB8" s="3326"/>
      <c r="AC8" s="3326"/>
    </row>
    <row r="9" spans="1:30" s="1223" customFormat="1" ht="21" thickBot="1">
      <c r="A9" s="2952"/>
      <c r="B9" s="2959" t="s">
        <v>530</v>
      </c>
      <c r="C9" s="2951">
        <f>'数据-取费表'!B2</f>
        <v>42923</v>
      </c>
      <c r="D9" s="523">
        <v>100</v>
      </c>
      <c r="E9" s="524">
        <f>C9</f>
        <v>42923</v>
      </c>
      <c r="F9" s="525">
        <f>SUMIF(72:72,YEAR(E9)&amp;"-"&amp;INT((MONTH(E9)+2)/3),73:73)</f>
        <v>100</v>
      </c>
      <c r="G9" s="526">
        <f>E9</f>
        <v>42923</v>
      </c>
      <c r="H9" s="523">
        <f>SUMIF(72:72,YEAR(G9)&amp;"-"&amp;INT((MONTH(G9)+2)/3),73:73)</f>
        <v>100</v>
      </c>
      <c r="I9" s="526">
        <f>C9</f>
        <v>42923</v>
      </c>
      <c r="J9" s="523">
        <f>SUMIF(72:72,YEAR(I9)&amp;"-"&amp;INT((MONTH(I9)+2)/3),73:73)</f>
        <v>100</v>
      </c>
      <c r="K9" s="527"/>
      <c r="L9" s="2146"/>
      <c r="M9" s="2143"/>
      <c r="N9" s="2143"/>
      <c r="O9" s="2147"/>
      <c r="P9" s="3327" t="s">
        <v>531</v>
      </c>
      <c r="Q9" s="3336"/>
      <c r="R9" s="1574" t="s">
        <v>8</v>
      </c>
      <c r="S9" s="1575">
        <f t="shared" ref="S9:S17" si="0">F9</f>
        <v>100</v>
      </c>
      <c r="T9" s="1574" t="s">
        <v>8</v>
      </c>
      <c r="U9" s="1575">
        <f t="shared" ref="U9:U17" si="1">H9</f>
        <v>100</v>
      </c>
      <c r="V9" s="1574" t="s">
        <v>8</v>
      </c>
      <c r="W9" s="1575">
        <f t="shared" ref="W9:W17" si="2">J9</f>
        <v>100</v>
      </c>
      <c r="X9" s="1576"/>
      <c r="Y9" s="3327" t="s">
        <v>531</v>
      </c>
      <c r="Z9" s="3328"/>
      <c r="AA9" s="1577">
        <f>D9/F9</f>
        <v>1</v>
      </c>
      <c r="AB9" s="1577">
        <f>D9/H9</f>
        <v>1</v>
      </c>
      <c r="AC9" s="1577">
        <f>D9/J9</f>
        <v>1</v>
      </c>
    </row>
    <row r="10" spans="1:30" s="1223" customFormat="1" ht="21" thickBot="1">
      <c r="A10" s="2953"/>
      <c r="B10" s="2960" t="s">
        <v>532</v>
      </c>
      <c r="C10" s="859" t="s">
        <v>533</v>
      </c>
      <c r="D10" s="523">
        <v>100</v>
      </c>
      <c r="E10" s="524" t="str">
        <f>C10</f>
        <v>正常</v>
      </c>
      <c r="F10" s="525">
        <f>SUMIF(75:75,E10,76:76)-SUMIF(75:75,C10,76:76)+100</f>
        <v>100</v>
      </c>
      <c r="G10" s="526" t="str">
        <f>E10</f>
        <v>正常</v>
      </c>
      <c r="H10" s="523">
        <f>SUMIF(75:75,G10,76:76)-SUMIF(75:75,C10,76:76)+100</f>
        <v>100</v>
      </c>
      <c r="I10" s="526" t="str">
        <f>C10</f>
        <v>正常</v>
      </c>
      <c r="J10" s="523">
        <f>SUMIF(75:75,I10,76:76)-SUMIF(75:75,C10,76:76)+100</f>
        <v>100</v>
      </c>
      <c r="K10" s="527"/>
      <c r="L10" s="2146"/>
      <c r="M10" s="2143"/>
      <c r="N10" s="2143"/>
      <c r="O10" s="2147"/>
      <c r="P10" s="3327" t="s">
        <v>534</v>
      </c>
      <c r="Q10" s="3328"/>
      <c r="R10" s="1574" t="s">
        <v>8</v>
      </c>
      <c r="S10" s="1575">
        <f t="shared" si="0"/>
        <v>100</v>
      </c>
      <c r="T10" s="1574" t="s">
        <v>8</v>
      </c>
      <c r="U10" s="1575">
        <f t="shared" si="1"/>
        <v>100</v>
      </c>
      <c r="V10" s="1574" t="s">
        <v>8</v>
      </c>
      <c r="W10" s="1575">
        <f t="shared" si="2"/>
        <v>100</v>
      </c>
      <c r="X10" s="1576"/>
      <c r="Y10" s="3327" t="s">
        <v>534</v>
      </c>
      <c r="Z10" s="3328"/>
      <c r="AA10" s="1577">
        <f t="shared" ref="AA10:AA47" si="3">D10/F10</f>
        <v>1</v>
      </c>
      <c r="AB10" s="1577">
        <f t="shared" ref="AB10:AB47" si="4">D10/H10</f>
        <v>1</v>
      </c>
      <c r="AC10" s="1577">
        <f t="shared" ref="AC10:AC47" si="5">D10/J10</f>
        <v>1</v>
      </c>
    </row>
    <row r="11" spans="1:30" s="1223" customFormat="1" ht="20.25">
      <c r="A11" s="2954"/>
      <c r="B11" s="2961" t="s">
        <v>2774</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35" t="s">
        <v>536</v>
      </c>
      <c r="Q11" s="1154" t="str">
        <f t="shared" ref="Q11:Q17" si="6">B11</f>
        <v>用途</v>
      </c>
      <c r="R11" s="1574" t="s">
        <v>8</v>
      </c>
      <c r="S11" s="1575">
        <f t="shared" si="0"/>
        <v>100</v>
      </c>
      <c r="T11" s="1574" t="s">
        <v>8</v>
      </c>
      <c r="U11" s="1575">
        <f t="shared" si="1"/>
        <v>100</v>
      </c>
      <c r="V11" s="1574" t="s">
        <v>8</v>
      </c>
      <c r="W11" s="1575">
        <f t="shared" si="2"/>
        <v>100</v>
      </c>
      <c r="X11" s="1576"/>
      <c r="Y11" s="3292" t="s">
        <v>537</v>
      </c>
      <c r="Z11" s="1153" t="str">
        <f t="shared" ref="Z11:Z17" si="7">Q11</f>
        <v>用途</v>
      </c>
      <c r="AA11" s="1577">
        <f t="shared" si="3"/>
        <v>1</v>
      </c>
      <c r="AB11" s="1577">
        <f t="shared" si="4"/>
        <v>1</v>
      </c>
      <c r="AC11" s="1577">
        <f t="shared" si="5"/>
        <v>1</v>
      </c>
    </row>
    <row r="12" spans="1:30" s="1341" customFormat="1" ht="27">
      <c r="A12" s="2955"/>
      <c r="B12" s="2960" t="s">
        <v>2775</v>
      </c>
      <c r="C12" s="913"/>
      <c r="D12" s="255">
        <v>100</v>
      </c>
      <c r="E12" s="532"/>
      <c r="F12" s="255">
        <f>ROUND(100/'数据-取费表'!G16,0)</f>
        <v>100</v>
      </c>
      <c r="G12" s="533"/>
      <c r="H12" s="255">
        <f>ROUND(100/'数据-取费表'!G16,0)</f>
        <v>100</v>
      </c>
      <c r="I12" s="533"/>
      <c r="J12" s="255">
        <f>ROUND(100/'数据-取费表'!G16,0)</f>
        <v>100</v>
      </c>
      <c r="K12" s="534"/>
      <c r="L12" s="2149"/>
      <c r="M12" s="2143"/>
      <c r="N12" s="2143"/>
      <c r="O12" s="2150"/>
      <c r="P12" s="3335"/>
      <c r="Q12" s="1154" t="str">
        <f t="shared" si="6"/>
        <v>土地使用年限（年）</v>
      </c>
      <c r="R12" s="1574" t="s">
        <v>8</v>
      </c>
      <c r="S12" s="1575">
        <f t="shared" si="0"/>
        <v>100</v>
      </c>
      <c r="T12" s="1574" t="s">
        <v>8</v>
      </c>
      <c r="U12" s="1575">
        <f t="shared" si="1"/>
        <v>100</v>
      </c>
      <c r="V12" s="1574" t="s">
        <v>8</v>
      </c>
      <c r="W12" s="1575">
        <f t="shared" si="2"/>
        <v>100</v>
      </c>
      <c r="X12" s="1576"/>
      <c r="Y12" s="3292"/>
      <c r="Z12" s="1153" t="str">
        <f t="shared" si="7"/>
        <v>土地使用年限（年）</v>
      </c>
      <c r="AA12" s="1577">
        <f t="shared" si="3"/>
        <v>1</v>
      </c>
      <c r="AB12" s="1577">
        <f t="shared" si="4"/>
        <v>1</v>
      </c>
      <c r="AC12" s="1577">
        <f t="shared" si="5"/>
        <v>1</v>
      </c>
    </row>
    <row r="13" spans="1:30" ht="20.25">
      <c r="A13" s="2956"/>
      <c r="B13" s="2960" t="s">
        <v>2776</v>
      </c>
      <c r="C13" s="537">
        <v>1</v>
      </c>
      <c r="D13" s="255">
        <v>100</v>
      </c>
      <c r="E13" s="536">
        <v>1</v>
      </c>
      <c r="F13" s="255">
        <f>LOOKUP(E13,82:82,83:83)-LOOKUP(C13,82:82,83:83)+100</f>
        <v>100</v>
      </c>
      <c r="G13" s="537">
        <v>1</v>
      </c>
      <c r="H13" s="255">
        <f>LOOKUP(G13,82:82,83:83)-LOOKUP(C13,82:82,83:83)+100</f>
        <v>100</v>
      </c>
      <c r="I13" s="536">
        <v>1</v>
      </c>
      <c r="J13" s="255">
        <f>LOOKUP(I13,82:82,83:83)-LOOKUP(C13,82:82,83:83)+100</f>
        <v>100</v>
      </c>
      <c r="K13" s="538"/>
      <c r="L13" s="2151"/>
      <c r="M13" s="2143"/>
      <c r="N13" s="2143"/>
      <c r="O13" s="2152"/>
      <c r="P13" s="3335"/>
      <c r="Q13" s="1154" t="str">
        <f t="shared" si="6"/>
        <v>容积率</v>
      </c>
      <c r="R13" s="1574" t="s">
        <v>8</v>
      </c>
      <c r="S13" s="1575">
        <f t="shared" si="0"/>
        <v>100</v>
      </c>
      <c r="T13" s="1574" t="s">
        <v>8</v>
      </c>
      <c r="U13" s="1575">
        <f t="shared" si="1"/>
        <v>100</v>
      </c>
      <c r="V13" s="1574" t="s">
        <v>8</v>
      </c>
      <c r="W13" s="1575">
        <f t="shared" si="2"/>
        <v>100</v>
      </c>
      <c r="X13" s="1576"/>
      <c r="Y13" s="3292"/>
      <c r="Z13" s="1153" t="str">
        <f t="shared" si="7"/>
        <v>容积率</v>
      </c>
      <c r="AA13" s="1577">
        <f t="shared" si="3"/>
        <v>1</v>
      </c>
      <c r="AB13" s="1577">
        <f t="shared" si="4"/>
        <v>1</v>
      </c>
      <c r="AC13" s="1577">
        <f t="shared" si="5"/>
        <v>1</v>
      </c>
    </row>
    <row r="14" spans="1:30" s="1223" customFormat="1" ht="20.25">
      <c r="A14" s="2953"/>
      <c r="B14" s="2962" t="s">
        <v>2777</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35"/>
      <c r="Q14" s="1154" t="str">
        <f t="shared" si="6"/>
        <v>配建</v>
      </c>
      <c r="R14" s="1574" t="s">
        <v>8</v>
      </c>
      <c r="S14" s="1575">
        <f t="shared" si="0"/>
        <v>100</v>
      </c>
      <c r="T14" s="1574" t="s">
        <v>8</v>
      </c>
      <c r="U14" s="1575">
        <f t="shared" si="1"/>
        <v>100</v>
      </c>
      <c r="V14" s="1574" t="s">
        <v>8</v>
      </c>
      <c r="W14" s="1575">
        <f t="shared" si="2"/>
        <v>100</v>
      </c>
      <c r="X14" s="1576"/>
      <c r="Y14" s="3292"/>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35"/>
      <c r="Q15" s="1154">
        <f t="shared" si="6"/>
        <v>111</v>
      </c>
      <c r="R15" s="1574" t="s">
        <v>8</v>
      </c>
      <c r="S15" s="1575">
        <f t="shared" si="0"/>
        <v>100</v>
      </c>
      <c r="T15" s="1574" t="s">
        <v>8</v>
      </c>
      <c r="U15" s="1575">
        <f t="shared" si="1"/>
        <v>100</v>
      </c>
      <c r="V15" s="1574" t="s">
        <v>8</v>
      </c>
      <c r="W15" s="1575">
        <f t="shared" si="2"/>
        <v>100</v>
      </c>
      <c r="X15" s="1576"/>
      <c r="Y15" s="3292"/>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35"/>
      <c r="Q16" s="1154">
        <f t="shared" si="6"/>
        <v>111</v>
      </c>
      <c r="R16" s="1574" t="s">
        <v>8</v>
      </c>
      <c r="S16" s="1575">
        <f t="shared" si="0"/>
        <v>100</v>
      </c>
      <c r="T16" s="1574" t="s">
        <v>8</v>
      </c>
      <c r="U16" s="1575">
        <f t="shared" si="1"/>
        <v>100</v>
      </c>
      <c r="V16" s="1574" t="s">
        <v>8</v>
      </c>
      <c r="W16" s="1575">
        <f t="shared" si="2"/>
        <v>100</v>
      </c>
      <c r="X16" s="1576"/>
      <c r="Y16" s="3292"/>
      <c r="Z16" s="1153">
        <f t="shared" si="7"/>
        <v>111</v>
      </c>
      <c r="AA16" s="1577">
        <f>D16/F16</f>
        <v>1</v>
      </c>
      <c r="AB16" s="1577">
        <f>D16/H16</f>
        <v>1</v>
      </c>
      <c r="AC16" s="1577">
        <f>D16/J16</f>
        <v>1</v>
      </c>
    </row>
    <row r="17" spans="1:29" ht="99.75">
      <c r="A17" s="2950" t="s">
        <v>2772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37" t="s">
        <v>541</v>
      </c>
      <c r="Q17" s="1578" t="str">
        <f t="shared" si="6"/>
        <v>居住社区成熟度</v>
      </c>
      <c r="R17" s="1579" t="s">
        <v>8</v>
      </c>
      <c r="S17" s="1580">
        <f t="shared" si="0"/>
        <v>100</v>
      </c>
      <c r="T17" s="1579" t="s">
        <v>8</v>
      </c>
      <c r="U17" s="1580">
        <f t="shared" si="1"/>
        <v>100</v>
      </c>
      <c r="V17" s="1579" t="s">
        <v>8</v>
      </c>
      <c r="W17" s="1580">
        <f t="shared" si="2"/>
        <v>100</v>
      </c>
      <c r="X17" s="1573"/>
      <c r="Y17" s="3337"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38"/>
      <c r="Q18" s="1578"/>
      <c r="R18" s="1579"/>
      <c r="S18" s="1580"/>
      <c r="T18" s="1579"/>
      <c r="U18" s="1580"/>
      <c r="V18" s="1579"/>
      <c r="W18" s="1580"/>
      <c r="X18" s="1573"/>
      <c r="Y18" s="3338"/>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38"/>
      <c r="Q19" s="1578" t="str">
        <f>B19</f>
        <v>商业繁华度</v>
      </c>
      <c r="R19" s="1579" t="s">
        <v>8</v>
      </c>
      <c r="S19" s="1580">
        <f>F19</f>
        <v>100</v>
      </c>
      <c r="T19" s="1579" t="s">
        <v>8</v>
      </c>
      <c r="U19" s="1580">
        <f>H19</f>
        <v>100</v>
      </c>
      <c r="V19" s="1579" t="s">
        <v>8</v>
      </c>
      <c r="W19" s="1580">
        <f>J19</f>
        <v>100</v>
      </c>
      <c r="X19" s="1573"/>
      <c r="Y19" s="3338"/>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38"/>
      <c r="Q20" s="1578"/>
      <c r="R20" s="1579"/>
      <c r="S20" s="1580"/>
      <c r="T20" s="1579"/>
      <c r="U20" s="1580"/>
      <c r="V20" s="1579"/>
      <c r="W20" s="1580"/>
      <c r="X20" s="1573"/>
      <c r="Y20" s="3338"/>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38"/>
      <c r="Q21" s="1578" t="str">
        <f>B21</f>
        <v>办公集聚程度</v>
      </c>
      <c r="R21" s="1579" t="s">
        <v>8</v>
      </c>
      <c r="S21" s="1580">
        <f>F21</f>
        <v>100</v>
      </c>
      <c r="T21" s="1579" t="s">
        <v>8</v>
      </c>
      <c r="U21" s="1580">
        <f>H21</f>
        <v>100</v>
      </c>
      <c r="V21" s="1579" t="s">
        <v>8</v>
      </c>
      <c r="W21" s="1580">
        <f>J21</f>
        <v>100</v>
      </c>
      <c r="X21" s="1573"/>
      <c r="Y21" s="3338"/>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38"/>
      <c r="Q22" s="1578"/>
      <c r="R22" s="1579"/>
      <c r="S22" s="1580"/>
      <c r="T22" s="1579"/>
      <c r="U22" s="1580"/>
      <c r="V22" s="1579"/>
      <c r="W22" s="1580"/>
      <c r="X22" s="1573"/>
      <c r="Y22" s="3338"/>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38"/>
      <c r="Q23" s="1578" t="str">
        <f>B23</f>
        <v>交通便捷度</v>
      </c>
      <c r="R23" s="1579" t="s">
        <v>8</v>
      </c>
      <c r="S23" s="1580">
        <f>F23</f>
        <v>100</v>
      </c>
      <c r="T23" s="1579" t="s">
        <v>8</v>
      </c>
      <c r="U23" s="1580">
        <f>H23</f>
        <v>100</v>
      </c>
      <c r="V23" s="1579" t="s">
        <v>8</v>
      </c>
      <c r="W23" s="1580">
        <f>J23</f>
        <v>100</v>
      </c>
      <c r="X23" s="1573"/>
      <c r="Y23" s="3338"/>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38"/>
      <c r="Q24" s="1578"/>
      <c r="R24" s="1579"/>
      <c r="S24" s="1580"/>
      <c r="T24" s="1579"/>
      <c r="U24" s="1580"/>
      <c r="V24" s="1579"/>
      <c r="W24" s="1580"/>
      <c r="X24" s="1573"/>
      <c r="Y24" s="3338"/>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38"/>
      <c r="Q25" s="1578" t="str">
        <f t="shared" ref="Q25:Q39" si="8">B25</f>
        <v>区域土地利用方向</v>
      </c>
      <c r="R25" s="1579" t="s">
        <v>8</v>
      </c>
      <c r="S25" s="1580">
        <f>F25</f>
        <v>100</v>
      </c>
      <c r="T25" s="1579" t="s">
        <v>8</v>
      </c>
      <c r="U25" s="1580">
        <f>H25</f>
        <v>100</v>
      </c>
      <c r="V25" s="1579" t="s">
        <v>8</v>
      </c>
      <c r="W25" s="1580">
        <f>J25</f>
        <v>100</v>
      </c>
      <c r="X25" s="1573"/>
      <c r="Y25" s="3338"/>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38"/>
      <c r="Q26" s="1578"/>
      <c r="R26" s="1579"/>
      <c r="S26" s="1580"/>
      <c r="T26" s="1579"/>
      <c r="U26" s="1580"/>
      <c r="V26" s="1579"/>
      <c r="W26" s="1580"/>
      <c r="X26" s="1573"/>
      <c r="Y26" s="3338"/>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38"/>
      <c r="Q27" s="1578" t="str">
        <f t="shared" si="8"/>
        <v>自然及人文环境状况</v>
      </c>
      <c r="R27" s="1579" t="s">
        <v>8</v>
      </c>
      <c r="S27" s="1580">
        <f>F27</f>
        <v>100</v>
      </c>
      <c r="T27" s="1579" t="s">
        <v>8</v>
      </c>
      <c r="U27" s="1580">
        <f>H27</f>
        <v>100</v>
      </c>
      <c r="V27" s="1579" t="s">
        <v>8</v>
      </c>
      <c r="W27" s="1580">
        <f>J27</f>
        <v>100</v>
      </c>
      <c r="X27" s="1573"/>
      <c r="Y27" s="3338"/>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38"/>
      <c r="Q28" s="1578"/>
      <c r="R28" s="1579"/>
      <c r="S28" s="1580"/>
      <c r="T28" s="1579"/>
      <c r="U28" s="1580"/>
      <c r="V28" s="1579"/>
      <c r="W28" s="1580"/>
      <c r="X28" s="1573"/>
      <c r="Y28" s="3338"/>
      <c r="Z28" s="1581"/>
      <c r="AA28" s="1582">
        <v>1</v>
      </c>
      <c r="AB28" s="1582">
        <v>1</v>
      </c>
      <c r="AC28" s="1582">
        <v>1</v>
      </c>
    </row>
    <row r="29" spans="1:29" s="1223" customFormat="1" ht="42.75">
      <c r="A29" s="580"/>
      <c r="B29" s="2627" t="s">
        <v>2563</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38"/>
      <c r="Q29" s="1154" t="str">
        <f t="shared" si="8"/>
        <v>公共配套设施</v>
      </c>
      <c r="R29" s="1574" t="s">
        <v>8</v>
      </c>
      <c r="S29" s="1575">
        <f>F29</f>
        <v>100</v>
      </c>
      <c r="T29" s="1574" t="s">
        <v>8</v>
      </c>
      <c r="U29" s="1575">
        <f>H29</f>
        <v>100</v>
      </c>
      <c r="V29" s="1574" t="s">
        <v>8</v>
      </c>
      <c r="W29" s="1575">
        <f>J29</f>
        <v>100</v>
      </c>
      <c r="X29" s="1576"/>
      <c r="Y29" s="3338"/>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38"/>
      <c r="Q30" s="1154"/>
      <c r="R30" s="1574"/>
      <c r="S30" s="1575"/>
      <c r="T30" s="1574"/>
      <c r="U30" s="1575"/>
      <c r="V30" s="1574"/>
      <c r="W30" s="1575"/>
      <c r="X30" s="1576"/>
      <c r="Y30" s="3338"/>
      <c r="Z30" s="1153"/>
      <c r="AA30" s="1582">
        <v>1</v>
      </c>
      <c r="AB30" s="1582">
        <v>1</v>
      </c>
      <c r="AC30" s="1582">
        <v>1</v>
      </c>
    </row>
    <row r="31" spans="1:29" s="1223" customFormat="1" ht="28.5">
      <c r="A31" s="580"/>
      <c r="B31" s="2627" t="s">
        <v>2564</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38"/>
      <c r="Q31" s="2614" t="str">
        <f t="shared" ref="Q31" si="9">B31</f>
        <v>基础设施水平</v>
      </c>
      <c r="R31" s="1574" t="s">
        <v>8</v>
      </c>
      <c r="S31" s="1575">
        <f>F31</f>
        <v>100</v>
      </c>
      <c r="T31" s="1574" t="s">
        <v>8</v>
      </c>
      <c r="U31" s="1575">
        <f>H31</f>
        <v>100</v>
      </c>
      <c r="V31" s="1574" t="s">
        <v>8</v>
      </c>
      <c r="W31" s="1575">
        <f>J31</f>
        <v>100</v>
      </c>
      <c r="X31" s="1576"/>
      <c r="Y31" s="3338"/>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38"/>
      <c r="Q32" s="2614"/>
      <c r="R32" s="1574"/>
      <c r="S32" s="1575"/>
      <c r="T32" s="1574"/>
      <c r="U32" s="1575"/>
      <c r="V32" s="1574"/>
      <c r="W32" s="1575"/>
      <c r="X32" s="1576"/>
      <c r="Y32" s="3338"/>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38"/>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38"/>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38"/>
      <c r="Q34" s="1578" t="str">
        <f t="shared" si="8"/>
        <v>毗邻道路的类型与等级</v>
      </c>
      <c r="R34" s="1579" t="s">
        <v>8</v>
      </c>
      <c r="S34" s="1580">
        <f t="shared" si="10"/>
        <v>100</v>
      </c>
      <c r="T34" s="1579" t="s">
        <v>8</v>
      </c>
      <c r="U34" s="1580">
        <f t="shared" si="11"/>
        <v>100</v>
      </c>
      <c r="V34" s="1579" t="s">
        <v>8</v>
      </c>
      <c r="W34" s="1580">
        <f t="shared" si="12"/>
        <v>100</v>
      </c>
      <c r="X34" s="1573"/>
      <c r="Y34" s="3338"/>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38"/>
      <c r="Q35" s="1578"/>
      <c r="R35" s="1579"/>
      <c r="S35" s="1580"/>
      <c r="T35" s="1579"/>
      <c r="U35" s="1580"/>
      <c r="V35" s="1579"/>
      <c r="W35" s="1580"/>
      <c r="X35" s="1573"/>
      <c r="Y35" s="3338"/>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38"/>
      <c r="Q36" s="1578" t="str">
        <f t="shared" si="8"/>
        <v>土地级别</v>
      </c>
      <c r="R36" s="1579" t="s">
        <v>8</v>
      </c>
      <c r="S36" s="1580">
        <f t="shared" si="10"/>
        <v>100</v>
      </c>
      <c r="T36" s="1579" t="s">
        <v>8</v>
      </c>
      <c r="U36" s="1580">
        <f t="shared" si="11"/>
        <v>100</v>
      </c>
      <c r="V36" s="1579" t="s">
        <v>8</v>
      </c>
      <c r="W36" s="1580">
        <f t="shared" si="12"/>
        <v>100</v>
      </c>
      <c r="X36" s="1573"/>
      <c r="Y36" s="3338"/>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38"/>
      <c r="Q37" s="1578">
        <f t="shared" si="8"/>
        <v>111</v>
      </c>
      <c r="R37" s="1579" t="s">
        <v>8</v>
      </c>
      <c r="S37" s="1580">
        <f t="shared" si="10"/>
        <v>100</v>
      </c>
      <c r="T37" s="1579" t="s">
        <v>8</v>
      </c>
      <c r="U37" s="1580">
        <f t="shared" si="11"/>
        <v>100</v>
      </c>
      <c r="V37" s="1579" t="s">
        <v>8</v>
      </c>
      <c r="W37" s="1580">
        <f t="shared" si="12"/>
        <v>100</v>
      </c>
      <c r="X37" s="1573"/>
      <c r="Y37" s="3338"/>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39" t="s">
        <v>551</v>
      </c>
      <c r="Q38" s="1578">
        <f t="shared" si="8"/>
        <v>111</v>
      </c>
      <c r="R38" s="1579" t="s">
        <v>8</v>
      </c>
      <c r="S38" s="1580">
        <f t="shared" si="10"/>
        <v>100</v>
      </c>
      <c r="T38" s="1579" t="s">
        <v>8</v>
      </c>
      <c r="U38" s="1580">
        <f t="shared" si="11"/>
        <v>100</v>
      </c>
      <c r="V38" s="1579" t="s">
        <v>8</v>
      </c>
      <c r="W38" s="1580">
        <f t="shared" si="12"/>
        <v>100</v>
      </c>
      <c r="X38" s="1573"/>
      <c r="Y38" s="3340"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40"/>
      <c r="Q39" s="1578">
        <f t="shared" si="8"/>
        <v>111</v>
      </c>
      <c r="R39" s="1583" t="s">
        <v>8</v>
      </c>
      <c r="S39" s="1584">
        <f t="shared" si="10"/>
        <v>100</v>
      </c>
      <c r="T39" s="1583" t="s">
        <v>8</v>
      </c>
      <c r="U39" s="1584">
        <f t="shared" si="11"/>
        <v>100</v>
      </c>
      <c r="V39" s="1583" t="s">
        <v>8</v>
      </c>
      <c r="W39" s="1584">
        <f t="shared" si="12"/>
        <v>100</v>
      </c>
      <c r="X39" s="1585"/>
      <c r="Y39" s="3340"/>
      <c r="Z39" s="1586">
        <f t="shared" si="13"/>
        <v>111</v>
      </c>
      <c r="AA39" s="1582">
        <f t="shared" si="3"/>
        <v>1</v>
      </c>
      <c r="AB39" s="1582">
        <f t="shared" si="4"/>
        <v>1</v>
      </c>
      <c r="AC39" s="1582">
        <f t="shared" si="5"/>
        <v>1</v>
      </c>
    </row>
    <row r="40" spans="1:29" ht="20.25">
      <c r="A40" s="2947" t="s">
        <v>2773</v>
      </c>
      <c r="B40" s="598" t="s">
        <v>553</v>
      </c>
      <c r="C40" s="599">
        <v>1</v>
      </c>
      <c r="D40" s="600">
        <v>100</v>
      </c>
      <c r="E40" s="599">
        <v>1</v>
      </c>
      <c r="F40" s="600">
        <f>LOOKUP(E40,119:119,120:120)-LOOKUP(C40,119:119,120:120)+100</f>
        <v>100</v>
      </c>
      <c r="G40" s="599">
        <v>1</v>
      </c>
      <c r="H40" s="600">
        <f>LOOKUP(G40,119:119,120:120)-LOOKUP(C40,119:119,120:120)+100</f>
        <v>100</v>
      </c>
      <c r="I40" s="601">
        <v>1</v>
      </c>
      <c r="J40" s="600">
        <f>LOOKUP(I40,119:119,120:120)-LOOKUP(C40,119:119,120:120)+100</f>
        <v>100</v>
      </c>
      <c r="K40" s="584"/>
      <c r="L40" s="2153"/>
      <c r="M40" s="2143"/>
      <c r="N40" s="2143"/>
      <c r="O40" s="2152"/>
      <c r="P40" s="3340"/>
      <c r="Q40" s="1578" t="str">
        <f>B40</f>
        <v>宗地面积</v>
      </c>
      <c r="R40" s="1579" t="s">
        <v>8</v>
      </c>
      <c r="S40" s="1580">
        <f t="shared" si="10"/>
        <v>100</v>
      </c>
      <c r="T40" s="1579" t="s">
        <v>8</v>
      </c>
      <c r="U40" s="1580">
        <f t="shared" si="11"/>
        <v>100</v>
      </c>
      <c r="V40" s="1579" t="s">
        <v>8</v>
      </c>
      <c r="W40" s="1580">
        <f t="shared" si="12"/>
        <v>100</v>
      </c>
      <c r="X40" s="1573"/>
      <c r="Y40" s="3340"/>
      <c r="Z40" s="1581" t="str">
        <f t="shared" si="13"/>
        <v>宗地面积</v>
      </c>
      <c r="AA40" s="1582">
        <f t="shared" si="3"/>
        <v>1</v>
      </c>
      <c r="AB40" s="1582">
        <f t="shared" si="4"/>
        <v>1</v>
      </c>
      <c r="AC40" s="1582">
        <f t="shared" si="5"/>
        <v>1</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40"/>
      <c r="Q41" s="1578" t="str">
        <f t="shared" ref="Q41:Q47" si="14">B41</f>
        <v>宗地形状</v>
      </c>
      <c r="R41" s="1579" t="s">
        <v>8</v>
      </c>
      <c r="S41" s="1580">
        <f t="shared" si="10"/>
        <v>100</v>
      </c>
      <c r="T41" s="1579" t="s">
        <v>8</v>
      </c>
      <c r="U41" s="1580">
        <f t="shared" si="11"/>
        <v>100</v>
      </c>
      <c r="V41" s="1579" t="s">
        <v>8</v>
      </c>
      <c r="W41" s="1580">
        <f t="shared" si="12"/>
        <v>100</v>
      </c>
      <c r="X41" s="1573"/>
      <c r="Y41" s="3340"/>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40"/>
      <c r="Q42" s="1578" t="str">
        <f t="shared" si="14"/>
        <v>临街宽度及深度</v>
      </c>
      <c r="R42" s="1579" t="s">
        <v>8</v>
      </c>
      <c r="S42" s="1580">
        <f t="shared" si="10"/>
        <v>100</v>
      </c>
      <c r="T42" s="1579" t="s">
        <v>8</v>
      </c>
      <c r="U42" s="1580">
        <f t="shared" si="11"/>
        <v>100</v>
      </c>
      <c r="V42" s="1579" t="s">
        <v>8</v>
      </c>
      <c r="W42" s="1580">
        <f t="shared" si="12"/>
        <v>100</v>
      </c>
      <c r="X42" s="1573"/>
      <c r="Y42" s="3340"/>
      <c r="Z42" s="1581" t="str">
        <f t="shared" si="13"/>
        <v>临街宽度及深度</v>
      </c>
      <c r="AA42" s="1582">
        <f t="shared" si="3"/>
        <v>1</v>
      </c>
      <c r="AB42" s="1582">
        <f t="shared" si="4"/>
        <v>1</v>
      </c>
      <c r="AC42" s="1582">
        <f t="shared" si="5"/>
        <v>1</v>
      </c>
    </row>
    <row r="43" spans="1:29" s="1223" customFormat="1" ht="20.25">
      <c r="A43" s="603"/>
      <c r="B43" s="1902" t="s">
        <v>2437</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40"/>
      <c r="Q43" s="1578" t="str">
        <f t="shared" si="14"/>
        <v>宗地开发程度</v>
      </c>
      <c r="R43" s="1574" t="s">
        <v>8</v>
      </c>
      <c r="S43" s="1575">
        <f t="shared" si="10"/>
        <v>100</v>
      </c>
      <c r="T43" s="1574" t="s">
        <v>8</v>
      </c>
      <c r="U43" s="1575">
        <f t="shared" si="11"/>
        <v>100</v>
      </c>
      <c r="V43" s="1574" t="s">
        <v>8</v>
      </c>
      <c r="W43" s="1575">
        <f t="shared" si="12"/>
        <v>100</v>
      </c>
      <c r="X43" s="1576"/>
      <c r="Y43" s="3340"/>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40" t="s">
        <v>551</v>
      </c>
      <c r="Q44" s="1578" t="str">
        <f t="shared" si="14"/>
        <v>工程地质条件</v>
      </c>
      <c r="R44" s="1579" t="s">
        <v>8</v>
      </c>
      <c r="S44" s="1580">
        <f t="shared" si="10"/>
        <v>100</v>
      </c>
      <c r="T44" s="1579" t="s">
        <v>8</v>
      </c>
      <c r="U44" s="1580">
        <f t="shared" si="11"/>
        <v>100</v>
      </c>
      <c r="V44" s="1579" t="s">
        <v>8</v>
      </c>
      <c r="W44" s="1580">
        <f t="shared" si="12"/>
        <v>100</v>
      </c>
      <c r="X44" s="1573"/>
      <c r="Y44" s="3340"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40"/>
      <c r="Q45" s="1578">
        <f t="shared" si="14"/>
        <v>111</v>
      </c>
      <c r="R45" s="1579" t="s">
        <v>8</v>
      </c>
      <c r="S45" s="1580">
        <f t="shared" si="10"/>
        <v>100</v>
      </c>
      <c r="T45" s="1579" t="s">
        <v>8</v>
      </c>
      <c r="U45" s="1580">
        <f t="shared" si="11"/>
        <v>100</v>
      </c>
      <c r="V45" s="1579" t="s">
        <v>8</v>
      </c>
      <c r="W45" s="1580">
        <f t="shared" si="12"/>
        <v>100</v>
      </c>
      <c r="X45" s="1573"/>
      <c r="Y45" s="3340"/>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40"/>
      <c r="Q46" s="1578">
        <f t="shared" si="14"/>
        <v>111</v>
      </c>
      <c r="R46" s="1579" t="s">
        <v>8</v>
      </c>
      <c r="S46" s="1580">
        <f t="shared" si="10"/>
        <v>100</v>
      </c>
      <c r="T46" s="1579" t="s">
        <v>8</v>
      </c>
      <c r="U46" s="1580">
        <f t="shared" si="11"/>
        <v>100</v>
      </c>
      <c r="V46" s="1579" t="s">
        <v>8</v>
      </c>
      <c r="W46" s="1580">
        <f t="shared" si="12"/>
        <v>100</v>
      </c>
      <c r="X46" s="1573"/>
      <c r="Y46" s="3340"/>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40"/>
      <c r="Q47" s="1578">
        <f t="shared" si="14"/>
        <v>111</v>
      </c>
      <c r="R47" s="1583" t="s">
        <v>8</v>
      </c>
      <c r="S47" s="1584">
        <f t="shared" si="10"/>
        <v>100</v>
      </c>
      <c r="T47" s="1583" t="s">
        <v>8</v>
      </c>
      <c r="U47" s="1584">
        <f t="shared" si="11"/>
        <v>100</v>
      </c>
      <c r="V47" s="1583" t="s">
        <v>8</v>
      </c>
      <c r="W47" s="1584">
        <f t="shared" si="12"/>
        <v>100</v>
      </c>
      <c r="X47" s="1585"/>
      <c r="Y47" s="3340"/>
      <c r="Z47" s="1586">
        <f t="shared" si="13"/>
        <v>111</v>
      </c>
      <c r="AA47" s="1582">
        <f t="shared" si="3"/>
        <v>1</v>
      </c>
      <c r="AB47" s="1582">
        <f t="shared" si="4"/>
        <v>1</v>
      </c>
      <c r="AC47" s="1582">
        <f t="shared" si="5"/>
        <v>1</v>
      </c>
    </row>
    <row r="48" spans="1:29" ht="20.25">
      <c r="A48" s="610" t="s">
        <v>557</v>
      </c>
      <c r="B48" s="611" t="s">
        <v>3100</v>
      </c>
      <c r="C48" s="612" t="s">
        <v>1</v>
      </c>
      <c r="D48" s="613"/>
      <c r="E48" s="614">
        <v>1000</v>
      </c>
      <c r="F48" s="615"/>
      <c r="G48" s="616">
        <v>1000</v>
      </c>
      <c r="H48" s="617"/>
      <c r="I48" s="614">
        <v>1000</v>
      </c>
      <c r="J48" s="617"/>
      <c r="K48" s="1343"/>
      <c r="L48" s="2155"/>
      <c r="M48" s="2143"/>
      <c r="N48" s="2143"/>
      <c r="O48" s="2156"/>
      <c r="P48" s="3335" t="str">
        <f>A48</f>
        <v>成交单价</v>
      </c>
      <c r="Q48" s="3335"/>
      <c r="R48" s="3349">
        <f>E48</f>
        <v>1000</v>
      </c>
      <c r="S48" s="3349"/>
      <c r="T48" s="3349">
        <f>G48</f>
        <v>1000</v>
      </c>
      <c r="U48" s="3349"/>
      <c r="V48" s="3349">
        <f>I48</f>
        <v>1000</v>
      </c>
      <c r="W48" s="3349"/>
      <c r="X48" s="1565"/>
      <c r="Y48" s="1587"/>
      <c r="Z48" s="1565"/>
      <c r="AA48" s="1565"/>
      <c r="AB48" s="1565"/>
      <c r="AC48" s="1565"/>
    </row>
    <row r="49" spans="1:29" ht="21" thickBot="1">
      <c r="A49" s="618" t="s">
        <v>2711</v>
      </c>
      <c r="B49" s="619"/>
      <c r="C49" s="620">
        <f>R50</f>
        <v>1000</v>
      </c>
      <c r="D49" s="621"/>
      <c r="E49" s="620">
        <f>R49</f>
        <v>1000</v>
      </c>
      <c r="F49" s="622"/>
      <c r="G49" s="623">
        <f>T49</f>
        <v>1000</v>
      </c>
      <c r="H49" s="621"/>
      <c r="I49" s="620">
        <f>V49</f>
        <v>1000</v>
      </c>
      <c r="J49" s="621"/>
      <c r="K49" s="1344"/>
      <c r="L49" s="2155"/>
      <c r="M49" s="2143"/>
      <c r="N49" s="2143"/>
      <c r="O49" s="2156"/>
      <c r="P49" s="3335" t="str">
        <f>A49</f>
        <v>比较价格（元/平方米）</v>
      </c>
      <c r="Q49" s="3335"/>
      <c r="R49" s="3359">
        <f>ROUND(PRODUCT(R48,AA9:AA47),0)</f>
        <v>1000</v>
      </c>
      <c r="S49" s="3359"/>
      <c r="T49" s="3359">
        <f>ROUND(PRODUCT(T48,AB9:AB47),0)</f>
        <v>1000</v>
      </c>
      <c r="U49" s="3359"/>
      <c r="V49" s="3359">
        <f>ROUND(PRODUCT(V48,AC9:AC47),0)</f>
        <v>1000</v>
      </c>
      <c r="W49" s="3359"/>
      <c r="X49" s="1565"/>
      <c r="Y49" s="1565"/>
      <c r="Z49" s="1565"/>
      <c r="AA49" s="1565"/>
      <c r="AB49" s="1565"/>
      <c r="AC49" s="1565"/>
    </row>
    <row r="50" spans="1:29" ht="21" thickBot="1">
      <c r="A50" s="624" t="s">
        <v>2955</v>
      </c>
      <c r="B50" s="625"/>
      <c r="C50" s="626">
        <f>R50</f>
        <v>1000</v>
      </c>
      <c r="D50" s="626"/>
      <c r="E50" s="626"/>
      <c r="F50" s="626"/>
      <c r="G50" s="626"/>
      <c r="H50" s="626"/>
      <c r="I50" s="626"/>
      <c r="J50" s="626"/>
      <c r="K50" s="1345"/>
      <c r="L50" s="2155"/>
      <c r="M50" s="2143"/>
      <c r="N50" s="2143"/>
      <c r="O50" s="2156"/>
      <c r="P50" s="3356" t="str">
        <f>A50</f>
        <v>估价对象XX用房的比较价格（楼面单价，元/平方米）</v>
      </c>
      <c r="Q50" s="3357"/>
      <c r="R50" s="3358">
        <f>ROUND(AVERAGE(R49:V49),0)</f>
        <v>1000</v>
      </c>
      <c r="S50" s="3358"/>
      <c r="T50" s="3358"/>
      <c r="U50" s="3358"/>
      <c r="V50" s="3358"/>
      <c r="W50" s="3358"/>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0</v>
      </c>
      <c r="F53" s="630" t="str">
        <f>IF(OR(E53&gt;=0.3,E53&lt;=-0.3),"超过30%","")</f>
        <v/>
      </c>
      <c r="G53" s="629">
        <f>IF(G48&lt;G49,G49/G48-1,G48/G49-1)</f>
        <v>0</v>
      </c>
      <c r="H53" s="630" t="str">
        <f>IF(OR(G53&gt;=0.3,G53&lt;=-0.3),"超过30%","")</f>
        <v/>
      </c>
      <c r="I53" s="629">
        <f>IF(I48&lt;I49,I49/I48-1,I48/I49-1)</f>
        <v>0</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0</v>
      </c>
      <c r="F54" s="630" t="str">
        <f>IF(OR(E54&gt;=0.2,E54&lt;=-0.2),"超过20%","")</f>
        <v/>
      </c>
      <c r="G54" s="629">
        <f>IF(G49&lt;I49,I49/G49-1,G49/I49-1)</f>
        <v>0</v>
      </c>
      <c r="H54" s="630" t="str">
        <f>IF(OR(G54&gt;=0.2,G54&lt;=-0.2),"超过20%","")</f>
        <v/>
      </c>
      <c r="I54" s="629">
        <f>IF(I49&lt;E49,E49/I49-1,I49/E49-1)</f>
        <v>0</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2304</v>
      </c>
      <c r="E57" s="634" t="s">
        <v>563</v>
      </c>
      <c r="F57" s="635" t="s">
        <v>564</v>
      </c>
      <c r="G57" s="3319" t="s">
        <v>2292</v>
      </c>
      <c r="H57" s="3320"/>
      <c r="I57" s="1561" t="s">
        <v>1726</v>
      </c>
      <c r="J57" s="1561">
        <f>项目基本情况!F41</f>
        <v>0</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1000</v>
      </c>
      <c r="C58" s="638">
        <v>1</v>
      </c>
      <c r="D58" s="2239">
        <v>1</v>
      </c>
      <c r="E58" s="638">
        <f>'数据-汇总表'!E8+'数据-汇总表'!E9</f>
        <v>194854.22</v>
      </c>
      <c r="F58" s="639">
        <f t="shared" ref="F58:F67" si="15">ROUND(B58*E58/10000,0)</f>
        <v>19485</v>
      </c>
      <c r="G58" s="3321"/>
      <c r="H58" s="3322"/>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23" t="s">
        <v>2293</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23"/>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23"/>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23"/>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2340</v>
      </c>
      <c r="B63" s="641">
        <f t="shared" si="17"/>
        <v>0</v>
      </c>
      <c r="C63" s="381">
        <f t="shared" si="16"/>
        <v>0</v>
      </c>
      <c r="D63" s="2240">
        <v>0.25</v>
      </c>
      <c r="E63" s="644">
        <f>'数据-汇总表'!E11</f>
        <v>0</v>
      </c>
      <c r="F63" s="639">
        <f t="shared" si="15"/>
        <v>0</v>
      </c>
      <c r="G63" s="1952" t="s">
        <v>2294</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2293</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2294</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2305</v>
      </c>
      <c r="E68" s="646">
        <f>IF(B48="楼面地价",SUM(E58:E67),'数据-汇总表'!D3)</f>
        <v>102554.85</v>
      </c>
      <c r="F68" s="647">
        <f>IF(B48="楼面地价",SUM(F58:F67),ROUND(C50*E68/10000,0))</f>
        <v>10255</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2547</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2665</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2664</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1（含）-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1</v>
      </c>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2563</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2565</v>
      </c>
      <c r="C104" s="2634" t="s">
        <v>2566</v>
      </c>
      <c r="D104" s="2634" t="s">
        <v>2567</v>
      </c>
      <c r="E104" s="2634" t="s">
        <v>2568</v>
      </c>
      <c r="F104" s="2634" t="s">
        <v>2569</v>
      </c>
      <c r="G104" s="2634" t="s">
        <v>2570</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1(含)-</v>
      </c>
      <c r="D118" s="707" t="str">
        <f t="shared" si="25"/>
        <v>(含)-</v>
      </c>
      <c r="E118" s="707" t="str">
        <f t="shared" si="25"/>
        <v>(含)-</v>
      </c>
      <c r="F118" s="707" t="str">
        <f t="shared" si="25"/>
        <v>(含)-</v>
      </c>
      <c r="G118" s="707" t="str">
        <f t="shared" si="25"/>
        <v>(含)-</v>
      </c>
      <c r="H118" s="707" t="str">
        <f t="shared" si="25"/>
        <v>(含)-</v>
      </c>
      <c r="I118" s="707" t="str">
        <f t="shared" si="25"/>
        <v>(含)-</v>
      </c>
      <c r="J118" s="3133" t="str">
        <f t="shared" si="25"/>
        <v>(含)-</v>
      </c>
      <c r="K118" s="3133" t="str">
        <f t="shared" si="25"/>
        <v>(含)-</v>
      </c>
      <c r="L118" s="3134" t="str">
        <f t="shared" si="25"/>
        <v>(含)-</v>
      </c>
      <c r="M118" s="3135"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1</v>
      </c>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2438</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41" t="s">
        <v>523</v>
      </c>
      <c r="D6" s="3342"/>
      <c r="E6" s="3365" t="s">
        <v>524</v>
      </c>
      <c r="F6" s="3366"/>
      <c r="G6" s="3341" t="s">
        <v>525</v>
      </c>
      <c r="H6" s="3342"/>
      <c r="I6" s="3341" t="s">
        <v>526</v>
      </c>
      <c r="J6" s="3342"/>
      <c r="K6" s="517" t="s">
        <v>527</v>
      </c>
      <c r="L6" s="2144"/>
      <c r="M6" s="2145"/>
      <c r="N6" s="2145"/>
      <c r="O6" s="2145"/>
      <c r="P6" s="3343" t="s">
        <v>528</v>
      </c>
      <c r="Q6" s="3344"/>
      <c r="R6" s="3329" t="s">
        <v>524</v>
      </c>
      <c r="S6" s="3330"/>
      <c r="T6" s="3329" t="s">
        <v>525</v>
      </c>
      <c r="U6" s="3330"/>
      <c r="V6" s="3349" t="s">
        <v>526</v>
      </c>
      <c r="W6" s="3349"/>
      <c r="X6" s="1573"/>
      <c r="Y6" s="3329" t="s">
        <v>528</v>
      </c>
      <c r="Z6" s="3330"/>
      <c r="AA6" s="3324" t="s">
        <v>524</v>
      </c>
      <c r="AB6" s="3325" t="s">
        <v>525</v>
      </c>
      <c r="AC6" s="3324" t="s">
        <v>526</v>
      </c>
    </row>
    <row r="7" spans="1:29" ht="15">
      <c r="A7" s="518"/>
      <c r="B7" s="519"/>
      <c r="C7" s="3352" t="s">
        <v>2949</v>
      </c>
      <c r="D7" s="3353"/>
      <c r="E7" s="3367" t="s">
        <v>2950</v>
      </c>
      <c r="F7" s="3368"/>
      <c r="G7" s="3352" t="s">
        <v>2951</v>
      </c>
      <c r="H7" s="3353"/>
      <c r="I7" s="3352" t="s">
        <v>2952</v>
      </c>
      <c r="J7" s="3353"/>
      <c r="K7" s="517"/>
      <c r="L7" s="2144"/>
      <c r="M7" s="2145"/>
      <c r="N7" s="2145"/>
      <c r="O7" s="2145"/>
      <c r="P7" s="3345"/>
      <c r="Q7" s="3346"/>
      <c r="R7" s="3331"/>
      <c r="S7" s="3332"/>
      <c r="T7" s="3331"/>
      <c r="U7" s="3332"/>
      <c r="V7" s="3349"/>
      <c r="W7" s="3349"/>
      <c r="X7" s="1573"/>
      <c r="Y7" s="3331"/>
      <c r="Z7" s="3332"/>
      <c r="AA7" s="3325"/>
      <c r="AB7" s="3325"/>
      <c r="AC7" s="3325"/>
    </row>
    <row r="8" spans="1:29" ht="15.75" thickBot="1">
      <c r="A8" s="520"/>
      <c r="B8" s="521"/>
      <c r="C8" s="3350" t="s">
        <v>2953</v>
      </c>
      <c r="D8" s="3351"/>
      <c r="E8" s="3369" t="s">
        <v>2953</v>
      </c>
      <c r="F8" s="3370"/>
      <c r="G8" s="3350" t="s">
        <v>2953</v>
      </c>
      <c r="H8" s="3351"/>
      <c r="I8" s="3350" t="s">
        <v>2953</v>
      </c>
      <c r="J8" s="3351"/>
      <c r="K8" s="517" t="s">
        <v>529</v>
      </c>
      <c r="L8" s="2144"/>
      <c r="M8" s="2145"/>
      <c r="N8" s="2145"/>
      <c r="O8" s="2145"/>
      <c r="P8" s="3347"/>
      <c r="Q8" s="3348"/>
      <c r="R8" s="3331"/>
      <c r="S8" s="3332"/>
      <c r="T8" s="3333"/>
      <c r="U8" s="3334"/>
      <c r="V8" s="3349"/>
      <c r="W8" s="3349"/>
      <c r="X8" s="1573"/>
      <c r="Y8" s="3333"/>
      <c r="Z8" s="3334"/>
      <c r="AA8" s="3326"/>
      <c r="AB8" s="3326"/>
      <c r="AC8" s="3326"/>
    </row>
    <row r="9" spans="1:29" s="1223" customFormat="1" ht="15.75" thickBot="1">
      <c r="A9" s="2952"/>
      <c r="B9" s="2959" t="s">
        <v>530</v>
      </c>
      <c r="C9" s="522">
        <f>'数据-取费表'!B2</f>
        <v>42923</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27" t="s">
        <v>531</v>
      </c>
      <c r="Q9" s="3336"/>
      <c r="R9" s="1574" t="s">
        <v>8</v>
      </c>
      <c r="S9" s="1575">
        <f t="shared" ref="S9:S17" si="0">F9</f>
        <v>0</v>
      </c>
      <c r="T9" s="1574" t="s">
        <v>8</v>
      </c>
      <c r="U9" s="1575">
        <f t="shared" ref="U9:U17" si="1">H9</f>
        <v>0</v>
      </c>
      <c r="V9" s="1574" t="s">
        <v>8</v>
      </c>
      <c r="W9" s="1575">
        <f t="shared" ref="W9:W17" si="2">J9</f>
        <v>0</v>
      </c>
      <c r="X9" s="1576"/>
      <c r="Y9" s="3327" t="s">
        <v>531</v>
      </c>
      <c r="Z9" s="3328"/>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27" t="s">
        <v>534</v>
      </c>
      <c r="Q10" s="3328"/>
      <c r="R10" s="1574" t="s">
        <v>8</v>
      </c>
      <c r="S10" s="1575">
        <f t="shared" si="0"/>
        <v>0</v>
      </c>
      <c r="T10" s="1574" t="s">
        <v>8</v>
      </c>
      <c r="U10" s="1575">
        <f t="shared" si="1"/>
        <v>0</v>
      </c>
      <c r="V10" s="1574" t="s">
        <v>8</v>
      </c>
      <c r="W10" s="1575">
        <f t="shared" si="2"/>
        <v>0</v>
      </c>
      <c r="X10" s="1576"/>
      <c r="Y10" s="3327" t="s">
        <v>534</v>
      </c>
      <c r="Z10" s="3328"/>
      <c r="AA10" s="1577" t="e">
        <f t="shared" ref="AA10:AA42" si="3">D10/F10</f>
        <v>#DIV/0!</v>
      </c>
      <c r="AB10" s="1577" t="e">
        <f t="shared" ref="AB10:AB42" si="4">D10/H10</f>
        <v>#DIV/0!</v>
      </c>
      <c r="AC10" s="1577" t="e">
        <f t="shared" ref="AC10:AC42" si="5">D10/J10</f>
        <v>#DIV/0!</v>
      </c>
    </row>
    <row r="11" spans="1:29" s="1223" customFormat="1" ht="15">
      <c r="A11" s="2954"/>
      <c r="B11" s="2961" t="s">
        <v>2774</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35" t="s">
        <v>536</v>
      </c>
      <c r="Q11" s="1154" t="str">
        <f t="shared" ref="Q11:Q17" si="6">B11</f>
        <v>用途</v>
      </c>
      <c r="R11" s="1574" t="s">
        <v>8</v>
      </c>
      <c r="S11" s="1575">
        <f t="shared" si="0"/>
        <v>100</v>
      </c>
      <c r="T11" s="1574" t="s">
        <v>8</v>
      </c>
      <c r="U11" s="1575">
        <f t="shared" si="1"/>
        <v>100</v>
      </c>
      <c r="V11" s="1574" t="s">
        <v>8</v>
      </c>
      <c r="W11" s="1575">
        <f t="shared" si="2"/>
        <v>100</v>
      </c>
      <c r="X11" s="1576"/>
      <c r="Y11" s="3292" t="s">
        <v>537</v>
      </c>
      <c r="Z11" s="1153" t="str">
        <f t="shared" ref="Z11:Z17" si="7">Q11</f>
        <v>用途</v>
      </c>
      <c r="AA11" s="1577">
        <f t="shared" si="3"/>
        <v>1</v>
      </c>
      <c r="AB11" s="1577">
        <f t="shared" si="4"/>
        <v>1</v>
      </c>
      <c r="AC11" s="1577">
        <f t="shared" si="5"/>
        <v>1</v>
      </c>
    </row>
    <row r="12" spans="1:29" s="1341" customFormat="1" ht="27">
      <c r="A12" s="2955"/>
      <c r="B12" s="2960" t="s">
        <v>2775</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35"/>
      <c r="Q12" s="1154" t="str">
        <f t="shared" si="6"/>
        <v>土地使用年限（年）</v>
      </c>
      <c r="R12" s="1574" t="s">
        <v>8</v>
      </c>
      <c r="S12" s="1575">
        <f t="shared" si="0"/>
        <v>100</v>
      </c>
      <c r="T12" s="1574" t="s">
        <v>8</v>
      </c>
      <c r="U12" s="1575">
        <f t="shared" si="1"/>
        <v>100</v>
      </c>
      <c r="V12" s="1574" t="s">
        <v>8</v>
      </c>
      <c r="W12" s="1575">
        <f t="shared" si="2"/>
        <v>100</v>
      </c>
      <c r="X12" s="1576"/>
      <c r="Y12" s="3292"/>
      <c r="Z12" s="1153" t="str">
        <f t="shared" si="7"/>
        <v>土地使用年限（年）</v>
      </c>
      <c r="AA12" s="1577">
        <f t="shared" si="3"/>
        <v>1</v>
      </c>
      <c r="AB12" s="1577">
        <f t="shared" si="4"/>
        <v>1</v>
      </c>
      <c r="AC12" s="1577">
        <f t="shared" si="5"/>
        <v>1</v>
      </c>
    </row>
    <row r="13" spans="1:29" ht="15">
      <c r="A13" s="2956"/>
      <c r="B13" s="2960" t="s">
        <v>2776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35"/>
      <c r="Q13" s="1154" t="str">
        <f t="shared" si="6"/>
        <v>容积率</v>
      </c>
      <c r="R13" s="1574" t="s">
        <v>8</v>
      </c>
      <c r="S13" s="1575" t="e">
        <f t="shared" si="0"/>
        <v>#N/A</v>
      </c>
      <c r="T13" s="1574" t="s">
        <v>8</v>
      </c>
      <c r="U13" s="1575" t="e">
        <f t="shared" si="1"/>
        <v>#N/A</v>
      </c>
      <c r="V13" s="1574" t="s">
        <v>8</v>
      </c>
      <c r="W13" s="1575" t="e">
        <f t="shared" si="2"/>
        <v>#N/A</v>
      </c>
      <c r="X13" s="1576"/>
      <c r="Y13" s="3292"/>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35"/>
      <c r="Q15" s="1154">
        <f t="shared" si="6"/>
        <v>111</v>
      </c>
      <c r="R15" s="1574" t="s">
        <v>8</v>
      </c>
      <c r="S15" s="1575">
        <f t="shared" si="0"/>
        <v>100</v>
      </c>
      <c r="T15" s="1574" t="s">
        <v>8</v>
      </c>
      <c r="U15" s="1575">
        <f t="shared" si="1"/>
        <v>100</v>
      </c>
      <c r="V15" s="1574" t="s">
        <v>8</v>
      </c>
      <c r="W15" s="1575">
        <f t="shared" si="2"/>
        <v>100</v>
      </c>
      <c r="X15" s="1576"/>
      <c r="Y15" s="3292"/>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35"/>
      <c r="Q16" s="1154">
        <f t="shared" si="6"/>
        <v>111</v>
      </c>
      <c r="R16" s="1574" t="s">
        <v>8</v>
      </c>
      <c r="S16" s="1575">
        <f t="shared" si="0"/>
        <v>100</v>
      </c>
      <c r="T16" s="1574" t="s">
        <v>8</v>
      </c>
      <c r="U16" s="1575">
        <f t="shared" si="1"/>
        <v>100</v>
      </c>
      <c r="V16" s="1574" t="s">
        <v>8</v>
      </c>
      <c r="W16" s="1575">
        <f t="shared" si="2"/>
        <v>100</v>
      </c>
      <c r="X16" s="1576"/>
      <c r="Y16" s="3292"/>
      <c r="Z16" s="1153">
        <f t="shared" si="7"/>
        <v>111</v>
      </c>
      <c r="AA16" s="1577">
        <f t="shared" si="3"/>
        <v>1</v>
      </c>
      <c r="AB16" s="1577">
        <f t="shared" si="4"/>
        <v>1</v>
      </c>
      <c r="AC16" s="1577">
        <f t="shared" si="5"/>
        <v>1</v>
      </c>
    </row>
    <row r="17" spans="1:29" ht="57">
      <c r="A17" s="2950" t="s">
        <v>2772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37" t="s">
        <v>541</v>
      </c>
      <c r="Q17" s="1578" t="str">
        <f t="shared" si="6"/>
        <v>产业集聚程度</v>
      </c>
      <c r="R17" s="1579" t="s">
        <v>8</v>
      </c>
      <c r="S17" s="1580">
        <f t="shared" si="0"/>
        <v>100</v>
      </c>
      <c r="T17" s="1579" t="s">
        <v>8</v>
      </c>
      <c r="U17" s="1580">
        <f t="shared" si="1"/>
        <v>100</v>
      </c>
      <c r="V17" s="1579" t="s">
        <v>8</v>
      </c>
      <c r="W17" s="1580">
        <f t="shared" si="2"/>
        <v>100</v>
      </c>
      <c r="X17" s="1573"/>
      <c r="Y17" s="3337"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38"/>
      <c r="Q18" s="1578"/>
      <c r="R18" s="1579"/>
      <c r="S18" s="1580"/>
      <c r="T18" s="1579"/>
      <c r="U18" s="1580"/>
      <c r="V18" s="1579"/>
      <c r="W18" s="1580"/>
      <c r="X18" s="1573"/>
      <c r="Y18" s="3338"/>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38"/>
      <c r="Q19" s="1578" t="str">
        <f>B19</f>
        <v>交通便捷度</v>
      </c>
      <c r="R19" s="1579" t="s">
        <v>8</v>
      </c>
      <c r="S19" s="1580">
        <f>F19</f>
        <v>100</v>
      </c>
      <c r="T19" s="1579" t="s">
        <v>8</v>
      </c>
      <c r="U19" s="1580">
        <f>H19</f>
        <v>100</v>
      </c>
      <c r="V19" s="1579" t="s">
        <v>8</v>
      </c>
      <c r="W19" s="1580">
        <f>J19</f>
        <v>100</v>
      </c>
      <c r="X19" s="1573"/>
      <c r="Y19" s="3338"/>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38"/>
      <c r="Q21" s="1578" t="str">
        <f t="shared" ref="Q21:Q35" si="8">B21</f>
        <v>区域土地利用方向</v>
      </c>
      <c r="R21" s="1579" t="s">
        <v>8</v>
      </c>
      <c r="S21" s="1580">
        <f>F21</f>
        <v>100</v>
      </c>
      <c r="T21" s="1579" t="s">
        <v>8</v>
      </c>
      <c r="U21" s="1580">
        <f>H21</f>
        <v>100</v>
      </c>
      <c r="V21" s="1579" t="s">
        <v>8</v>
      </c>
      <c r="W21" s="1580">
        <f>J21</f>
        <v>100</v>
      </c>
      <c r="X21" s="1573"/>
      <c r="Y21" s="3338"/>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38"/>
      <c r="Q22" s="1578"/>
      <c r="R22" s="1579"/>
      <c r="S22" s="1580"/>
      <c r="T22" s="1579"/>
      <c r="U22" s="1580"/>
      <c r="V22" s="1579"/>
      <c r="W22" s="1580"/>
      <c r="X22" s="1573"/>
      <c r="Y22" s="3338"/>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38"/>
      <c r="Q23" s="1578" t="str">
        <f t="shared" si="8"/>
        <v>环境状况</v>
      </c>
      <c r="R23" s="1579" t="s">
        <v>8</v>
      </c>
      <c r="S23" s="1580">
        <f>F23</f>
        <v>100</v>
      </c>
      <c r="T23" s="1579" t="s">
        <v>8</v>
      </c>
      <c r="U23" s="1580">
        <f>H23</f>
        <v>100</v>
      </c>
      <c r="V23" s="1579" t="s">
        <v>8</v>
      </c>
      <c r="W23" s="1580">
        <f>J23</f>
        <v>100</v>
      </c>
      <c r="X23" s="1573"/>
      <c r="Y23" s="3338"/>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38"/>
      <c r="Q24" s="1578"/>
      <c r="R24" s="1579"/>
      <c r="S24" s="1580"/>
      <c r="T24" s="1579"/>
      <c r="U24" s="1580"/>
      <c r="V24" s="1579"/>
      <c r="W24" s="1580"/>
      <c r="X24" s="1573"/>
      <c r="Y24" s="3338"/>
      <c r="Z24" s="1581"/>
      <c r="AA24" s="1582">
        <v>1</v>
      </c>
      <c r="AB24" s="1582">
        <v>1</v>
      </c>
      <c r="AC24" s="1582">
        <v>1</v>
      </c>
    </row>
    <row r="25" spans="1:29" s="1223" customFormat="1" ht="42.75">
      <c r="A25" s="580"/>
      <c r="B25" s="2629" t="s">
        <v>2563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38"/>
      <c r="Q25" s="1154" t="str">
        <f t="shared" si="8"/>
        <v>公共配套设施</v>
      </c>
      <c r="R25" s="1574" t="s">
        <v>8</v>
      </c>
      <c r="S25" s="1575">
        <f>F25</f>
        <v>100</v>
      </c>
      <c r="T25" s="1574" t="s">
        <v>8</v>
      </c>
      <c r="U25" s="1575">
        <f>H25</f>
        <v>100</v>
      </c>
      <c r="V25" s="1574" t="s">
        <v>8</v>
      </c>
      <c r="W25" s="1575">
        <f>J25</f>
        <v>100</v>
      </c>
      <c r="X25" s="1576"/>
      <c r="Y25" s="3338"/>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38"/>
      <c r="Q26" s="1154"/>
      <c r="R26" s="1574"/>
      <c r="S26" s="1575"/>
      <c r="T26" s="1574"/>
      <c r="U26" s="1575"/>
      <c r="V26" s="1574"/>
      <c r="W26" s="1575"/>
      <c r="X26" s="1576"/>
      <c r="Y26" s="3338"/>
      <c r="Z26" s="1153"/>
      <c r="AA26" s="1577">
        <v>1</v>
      </c>
      <c r="AB26" s="1577">
        <v>1</v>
      </c>
      <c r="AC26" s="1577">
        <v>1</v>
      </c>
    </row>
    <row r="27" spans="1:29" s="1223" customFormat="1" ht="28.5">
      <c r="A27" s="580"/>
      <c r="B27" s="2629" t="s">
        <v>2564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38"/>
      <c r="Q27" s="2614" t="str">
        <f t="shared" ref="Q27" si="9">B27</f>
        <v>基础设施水平</v>
      </c>
      <c r="R27" s="1574" t="s">
        <v>8</v>
      </c>
      <c r="S27" s="1575">
        <f>F27</f>
        <v>100</v>
      </c>
      <c r="T27" s="1574" t="s">
        <v>8</v>
      </c>
      <c r="U27" s="1575">
        <f>H27</f>
        <v>100</v>
      </c>
      <c r="V27" s="1574" t="s">
        <v>8</v>
      </c>
      <c r="W27" s="1575">
        <f>J27</f>
        <v>100</v>
      </c>
      <c r="X27" s="1576"/>
      <c r="Y27" s="3338"/>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38"/>
      <c r="Q28" s="2614"/>
      <c r="R28" s="1574"/>
      <c r="S28" s="1575"/>
      <c r="T28" s="1574"/>
      <c r="U28" s="1575"/>
      <c r="V28" s="1574"/>
      <c r="W28" s="1575"/>
      <c r="X28" s="1576"/>
      <c r="Y28" s="3338"/>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38"/>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38"/>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38"/>
      <c r="Q30" s="1578" t="str">
        <f t="shared" si="8"/>
        <v>毗邻道路的类型与等级</v>
      </c>
      <c r="R30" s="1579" t="s">
        <v>8</v>
      </c>
      <c r="S30" s="1580">
        <f t="shared" si="10"/>
        <v>100</v>
      </c>
      <c r="T30" s="1579" t="s">
        <v>8</v>
      </c>
      <c r="U30" s="1580">
        <f t="shared" si="11"/>
        <v>100</v>
      </c>
      <c r="V30" s="1579" t="s">
        <v>8</v>
      </c>
      <c r="W30" s="1580">
        <f t="shared" si="12"/>
        <v>100</v>
      </c>
      <c r="X30" s="1573"/>
      <c r="Y30" s="3338"/>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38"/>
      <c r="Q31" s="1578"/>
      <c r="R31" s="1579"/>
      <c r="S31" s="1580"/>
      <c r="T31" s="1579"/>
      <c r="U31" s="1580"/>
      <c r="V31" s="1579"/>
      <c r="W31" s="1580"/>
      <c r="X31" s="1573"/>
      <c r="Y31" s="3338"/>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38"/>
      <c r="Q32" s="1578" t="str">
        <f t="shared" si="8"/>
        <v>土地级别</v>
      </c>
      <c r="R32" s="1579" t="s">
        <v>8</v>
      </c>
      <c r="S32" s="1580">
        <f t="shared" si="10"/>
        <v>100</v>
      </c>
      <c r="T32" s="1579" t="s">
        <v>8</v>
      </c>
      <c r="U32" s="1580">
        <f t="shared" si="11"/>
        <v>100</v>
      </c>
      <c r="V32" s="1579" t="s">
        <v>8</v>
      </c>
      <c r="W32" s="1580">
        <f t="shared" si="12"/>
        <v>100</v>
      </c>
      <c r="X32" s="1573"/>
      <c r="Y32" s="3338"/>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38"/>
      <c r="Q33" s="1578">
        <f t="shared" si="8"/>
        <v>111</v>
      </c>
      <c r="R33" s="1579" t="s">
        <v>8</v>
      </c>
      <c r="S33" s="1580">
        <f t="shared" si="10"/>
        <v>100</v>
      </c>
      <c r="T33" s="1579" t="s">
        <v>8</v>
      </c>
      <c r="U33" s="1580">
        <f t="shared" si="11"/>
        <v>100</v>
      </c>
      <c r="V33" s="1579" t="s">
        <v>8</v>
      </c>
      <c r="W33" s="1580">
        <f t="shared" si="12"/>
        <v>100</v>
      </c>
      <c r="X33" s="1573"/>
      <c r="Y33" s="3338"/>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39" t="s">
        <v>551</v>
      </c>
      <c r="Q34" s="1578">
        <f t="shared" si="8"/>
        <v>111</v>
      </c>
      <c r="R34" s="1579" t="s">
        <v>8</v>
      </c>
      <c r="S34" s="1580">
        <f t="shared" si="10"/>
        <v>100</v>
      </c>
      <c r="T34" s="1579" t="s">
        <v>8</v>
      </c>
      <c r="U34" s="1580">
        <f t="shared" si="11"/>
        <v>100</v>
      </c>
      <c r="V34" s="1579" t="s">
        <v>8</v>
      </c>
      <c r="W34" s="1580">
        <f t="shared" si="12"/>
        <v>100</v>
      </c>
      <c r="X34" s="1573"/>
      <c r="Y34" s="3340"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40"/>
      <c r="Q35" s="1578">
        <f t="shared" si="8"/>
        <v>111</v>
      </c>
      <c r="R35" s="1583" t="s">
        <v>8</v>
      </c>
      <c r="S35" s="1584">
        <f t="shared" si="10"/>
        <v>100</v>
      </c>
      <c r="T35" s="1583" t="s">
        <v>8</v>
      </c>
      <c r="U35" s="1584">
        <f t="shared" si="11"/>
        <v>100</v>
      </c>
      <c r="V35" s="1583" t="s">
        <v>8</v>
      </c>
      <c r="W35" s="1584">
        <f t="shared" si="12"/>
        <v>100</v>
      </c>
      <c r="X35" s="1585"/>
      <c r="Y35" s="3340"/>
      <c r="Z35" s="1586">
        <f t="shared" si="13"/>
        <v>111</v>
      </c>
      <c r="AA35" s="1582">
        <f t="shared" si="3"/>
        <v>1</v>
      </c>
      <c r="AB35" s="1582">
        <f t="shared" si="4"/>
        <v>1</v>
      </c>
      <c r="AC35" s="1582">
        <f t="shared" si="5"/>
        <v>1</v>
      </c>
    </row>
    <row r="36" spans="1:29" ht="15">
      <c r="A36" s="2947" t="s">
        <v>2773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40"/>
      <c r="Q36" s="1578" t="str">
        <f>B36</f>
        <v>宗地面积</v>
      </c>
      <c r="R36" s="1579" t="s">
        <v>8</v>
      </c>
      <c r="S36" s="1580" t="e">
        <f t="shared" si="10"/>
        <v>#N/A</v>
      </c>
      <c r="T36" s="1579" t="s">
        <v>8</v>
      </c>
      <c r="U36" s="1580" t="e">
        <f t="shared" si="11"/>
        <v>#N/A</v>
      </c>
      <c r="V36" s="1579" t="s">
        <v>8</v>
      </c>
      <c r="W36" s="1580" t="e">
        <f t="shared" si="12"/>
        <v>#N/A</v>
      </c>
      <c r="X36" s="1573"/>
      <c r="Y36" s="3340"/>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40"/>
      <c r="Q37" s="1578" t="str">
        <f t="shared" ref="Q37:Q42" si="14">B37</f>
        <v>宗地形状</v>
      </c>
      <c r="R37" s="1579" t="s">
        <v>8</v>
      </c>
      <c r="S37" s="1580">
        <f t="shared" si="10"/>
        <v>100</v>
      </c>
      <c r="T37" s="1579" t="s">
        <v>8</v>
      </c>
      <c r="U37" s="1580">
        <f t="shared" si="11"/>
        <v>100</v>
      </c>
      <c r="V37" s="1579" t="s">
        <v>8</v>
      </c>
      <c r="W37" s="1580">
        <f t="shared" si="12"/>
        <v>100</v>
      </c>
      <c r="X37" s="1573"/>
      <c r="Y37" s="3340"/>
      <c r="Z37" s="1581" t="str">
        <f t="shared" si="13"/>
        <v>宗地形状</v>
      </c>
      <c r="AA37" s="1582">
        <f t="shared" si="3"/>
        <v>1</v>
      </c>
      <c r="AB37" s="1582">
        <f t="shared" si="4"/>
        <v>1</v>
      </c>
      <c r="AC37" s="1582">
        <f t="shared" si="5"/>
        <v>1</v>
      </c>
    </row>
    <row r="38" spans="1:29" s="1223" customFormat="1" ht="15">
      <c r="A38" s="603"/>
      <c r="B38" s="1902" t="s">
        <v>2437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40"/>
      <c r="Q38" s="1578" t="str">
        <f t="shared" si="14"/>
        <v>宗地开发程度</v>
      </c>
      <c r="R38" s="1574" t="s">
        <v>8</v>
      </c>
      <c r="S38" s="1575">
        <f t="shared" si="10"/>
        <v>100</v>
      </c>
      <c r="T38" s="1574" t="s">
        <v>8</v>
      </c>
      <c r="U38" s="1575">
        <f t="shared" si="11"/>
        <v>100</v>
      </c>
      <c r="V38" s="1574" t="s">
        <v>8</v>
      </c>
      <c r="W38" s="1575">
        <f t="shared" si="12"/>
        <v>100</v>
      </c>
      <c r="X38" s="1576"/>
      <c r="Y38" s="3340"/>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0" t="s">
        <v>602</v>
      </c>
      <c r="Q39" s="1578" t="str">
        <f t="shared" si="14"/>
        <v>工程地质条件</v>
      </c>
      <c r="R39" s="1579" t="s">
        <v>8</v>
      </c>
      <c r="S39" s="1580">
        <f t="shared" si="10"/>
        <v>100</v>
      </c>
      <c r="T39" s="1579" t="s">
        <v>8</v>
      </c>
      <c r="U39" s="1580">
        <f t="shared" si="11"/>
        <v>100</v>
      </c>
      <c r="V39" s="1579" t="s">
        <v>8</v>
      </c>
      <c r="W39" s="1580">
        <f t="shared" si="12"/>
        <v>100</v>
      </c>
      <c r="X39" s="1573"/>
      <c r="Y39" s="3340"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40"/>
      <c r="Q40" s="1578">
        <f t="shared" si="14"/>
        <v>111</v>
      </c>
      <c r="R40" s="1579" t="s">
        <v>8</v>
      </c>
      <c r="S40" s="1580">
        <f t="shared" si="10"/>
        <v>100</v>
      </c>
      <c r="T40" s="1579" t="s">
        <v>8</v>
      </c>
      <c r="U40" s="1580">
        <f t="shared" si="11"/>
        <v>100</v>
      </c>
      <c r="V40" s="1579" t="s">
        <v>8</v>
      </c>
      <c r="W40" s="1580">
        <f t="shared" si="12"/>
        <v>100</v>
      </c>
      <c r="X40" s="1573"/>
      <c r="Y40" s="3340"/>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40"/>
      <c r="Q41" s="1578">
        <f t="shared" si="14"/>
        <v>111</v>
      </c>
      <c r="R41" s="1579" t="s">
        <v>8</v>
      </c>
      <c r="S41" s="1580">
        <f t="shared" si="10"/>
        <v>100</v>
      </c>
      <c r="T41" s="1579" t="s">
        <v>8</v>
      </c>
      <c r="U41" s="1580">
        <f t="shared" si="11"/>
        <v>100</v>
      </c>
      <c r="V41" s="1579" t="s">
        <v>8</v>
      </c>
      <c r="W41" s="1580">
        <f t="shared" si="12"/>
        <v>100</v>
      </c>
      <c r="X41" s="1573"/>
      <c r="Y41" s="3340"/>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40"/>
      <c r="Q42" s="1578">
        <f t="shared" si="14"/>
        <v>111</v>
      </c>
      <c r="R42" s="1583" t="s">
        <v>8</v>
      </c>
      <c r="S42" s="1584">
        <f t="shared" si="10"/>
        <v>100</v>
      </c>
      <c r="T42" s="1583" t="s">
        <v>8</v>
      </c>
      <c r="U42" s="1584">
        <f t="shared" si="11"/>
        <v>100</v>
      </c>
      <c r="V42" s="1583" t="s">
        <v>8</v>
      </c>
      <c r="W42" s="1584">
        <f t="shared" si="12"/>
        <v>100</v>
      </c>
      <c r="X42" s="1585"/>
      <c r="Y42" s="3340"/>
      <c r="Z42" s="1586">
        <f t="shared" si="13"/>
        <v>111</v>
      </c>
      <c r="AA42" s="1582">
        <f t="shared" si="3"/>
        <v>1</v>
      </c>
      <c r="AB42" s="1582">
        <f t="shared" si="4"/>
        <v>1</v>
      </c>
      <c r="AC42" s="1582">
        <f t="shared" si="5"/>
        <v>1</v>
      </c>
    </row>
    <row r="43" spans="1:29" ht="15">
      <c r="A43" s="610" t="s">
        <v>557</v>
      </c>
      <c r="B43" s="611" t="s">
        <v>2954</v>
      </c>
      <c r="C43" s="612" t="s">
        <v>1</v>
      </c>
      <c r="D43" s="613"/>
      <c r="E43" s="614"/>
      <c r="F43" s="615"/>
      <c r="G43" s="616"/>
      <c r="H43" s="617"/>
      <c r="I43" s="614"/>
      <c r="J43" s="617"/>
      <c r="K43" s="1343"/>
      <c r="L43" s="2155"/>
      <c r="M43" s="2145"/>
      <c r="N43" s="2145"/>
      <c r="O43" s="2156"/>
      <c r="P43" s="3335" t="str">
        <f>A43</f>
        <v>成交单价</v>
      </c>
      <c r="Q43" s="3335"/>
      <c r="R43" s="3349">
        <f>E43</f>
        <v>0</v>
      </c>
      <c r="S43" s="3349"/>
      <c r="T43" s="3349">
        <f>G43</f>
        <v>0</v>
      </c>
      <c r="U43" s="3349"/>
      <c r="V43" s="3349">
        <f>I43</f>
        <v>0</v>
      </c>
      <c r="W43" s="3349"/>
      <c r="X43" s="1565"/>
      <c r="Y43" s="1587"/>
      <c r="Z43" s="1565"/>
      <c r="AA43" s="1565"/>
      <c r="AB43" s="1565"/>
      <c r="AC43" s="1565"/>
    </row>
    <row r="44" spans="1:29" ht="15.75" thickBot="1">
      <c r="A44" s="618" t="s">
        <v>2711</v>
      </c>
      <c r="B44" s="619"/>
      <c r="C44" s="620" t="e">
        <f>R45</f>
        <v>#DIV/0!</v>
      </c>
      <c r="D44" s="621"/>
      <c r="E44" s="620" t="e">
        <f>R44</f>
        <v>#DIV/0!</v>
      </c>
      <c r="F44" s="622"/>
      <c r="G44" s="623" t="e">
        <f>T44</f>
        <v>#DIV/0!</v>
      </c>
      <c r="H44" s="621"/>
      <c r="I44" s="620" t="e">
        <f>V44</f>
        <v>#DIV/0!</v>
      </c>
      <c r="J44" s="621"/>
      <c r="K44" s="1344"/>
      <c r="L44" s="2155"/>
      <c r="M44" s="2145"/>
      <c r="N44" s="2145"/>
      <c r="O44" s="2156"/>
      <c r="P44" s="3335" t="str">
        <f>A44</f>
        <v>比较价格（元/平方米）</v>
      </c>
      <c r="Q44" s="3335"/>
      <c r="R44" s="3359" t="e">
        <f>ROUND(PRODUCT(R43,AA9:AA42),0)</f>
        <v>#DIV/0!</v>
      </c>
      <c r="S44" s="3359"/>
      <c r="T44" s="3359" t="e">
        <f>ROUND(PRODUCT(T43,AB9:AB42),0)</f>
        <v>#DIV/0!</v>
      </c>
      <c r="U44" s="3359"/>
      <c r="V44" s="3359" t="e">
        <f>ROUND(PRODUCT(V43,AC9:AC42),0)</f>
        <v>#DIV/0!</v>
      </c>
      <c r="W44" s="3359"/>
      <c r="X44" s="1565"/>
      <c r="Y44" s="1565"/>
      <c r="Z44" s="1565"/>
      <c r="AA44" s="1565"/>
      <c r="AB44" s="1565"/>
      <c r="AC44" s="1565"/>
    </row>
    <row r="45" spans="1:29" ht="15.75" thickBot="1">
      <c r="A45" s="624" t="s">
        <v>2955</v>
      </c>
      <c r="B45" s="625"/>
      <c r="C45" s="626" t="e">
        <f>R45</f>
        <v>#DIV/0!</v>
      </c>
      <c r="D45" s="626"/>
      <c r="E45" s="626"/>
      <c r="F45" s="626"/>
      <c r="G45" s="626"/>
      <c r="H45" s="626"/>
      <c r="I45" s="626"/>
      <c r="J45" s="626"/>
      <c r="K45" s="1345"/>
      <c r="L45" s="2155"/>
      <c r="M45" s="2145"/>
      <c r="N45" s="2145"/>
      <c r="O45" s="2156"/>
      <c r="P45" s="3356" t="str">
        <f>A45</f>
        <v>估价对象XX用房的比较价格（楼面单价，元/平方米）</v>
      </c>
      <c r="Q45" s="3357"/>
      <c r="R45" s="3358" t="e">
        <f>ROUND(AVERAGE(R44:V44),0)</f>
        <v>#DIV/0!</v>
      </c>
      <c r="S45" s="3358"/>
      <c r="T45" s="3358"/>
      <c r="U45" s="3358"/>
      <c r="V45" s="3358"/>
      <c r="W45" s="3358"/>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2304</v>
      </c>
      <c r="E52" s="634" t="s">
        <v>563</v>
      </c>
      <c r="F52" s="1958" t="s">
        <v>564</v>
      </c>
      <c r="G52" s="3360" t="s">
        <v>2295</v>
      </c>
      <c r="H52" s="3361"/>
      <c r="I52" s="1959" t="s">
        <v>1955</v>
      </c>
      <c r="J52" s="1561">
        <f>项目基本情况!F41</f>
        <v>0</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194854.22</v>
      </c>
      <c r="F53" s="1957" t="e">
        <f t="shared" ref="F53:F62" si="15">ROUND(B53*E53/10000,0)</f>
        <v>#DIV/0!</v>
      </c>
      <c r="G53" s="3362"/>
      <c r="H53" s="3363"/>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364" t="s">
        <v>2296</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364"/>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364"/>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364"/>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2340</v>
      </c>
      <c r="B58" s="641" t="e">
        <f t="shared" si="17"/>
        <v>#DIV/0!</v>
      </c>
      <c r="C58" s="381">
        <f t="shared" si="16"/>
        <v>0</v>
      </c>
      <c r="D58" s="2240">
        <v>0.25</v>
      </c>
      <c r="E58" s="644">
        <f>'数据-汇总表'!E11</f>
        <v>0</v>
      </c>
      <c r="F58" s="1957" t="e">
        <f t="shared" si="15"/>
        <v>#DIV/0!</v>
      </c>
      <c r="G58" s="1963" t="s">
        <v>2297</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2296</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2297</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2305</v>
      </c>
      <c r="E63" s="646">
        <f>IF(B43="楼面地价",SUM(E53:E62),'数据-汇总表'!D3)</f>
        <v>102554.85</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2548</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2667</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2563</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2565</v>
      </c>
      <c r="C95" s="2634" t="s">
        <v>2566</v>
      </c>
      <c r="D95" s="2634" t="s">
        <v>2567</v>
      </c>
      <c r="E95" s="2634" t="s">
        <v>2568</v>
      </c>
      <c r="F95" s="2634" t="s">
        <v>2569</v>
      </c>
      <c r="G95" s="2634" t="s">
        <v>2570</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3" t="str">
        <f t="shared" si="25"/>
        <v>(含)-</v>
      </c>
      <c r="L109" s="3134" t="str">
        <f t="shared" si="25"/>
        <v>(含)-</v>
      </c>
      <c r="M109" s="3135"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2438</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L17" sqref="L17"/>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2439</v>
      </c>
      <c r="D1" s="1527">
        <f>SUM(D29:D30,D33:D39)</f>
        <v>0</v>
      </c>
      <c r="E1" s="1411" t="s">
        <v>2440</v>
      </c>
      <c r="F1" s="2488"/>
      <c r="G1" s="1406"/>
      <c r="H1" s="1406"/>
      <c r="I1" s="1406"/>
      <c r="J1" s="1406"/>
      <c r="K1" s="1406"/>
      <c r="L1" s="1889" t="s">
        <v>2249</v>
      </c>
      <c r="M1" s="1890">
        <f>SUMPRODUCT((区片价!B5:B9=I2)*(区片价!C3:F3=E2)*(区片价!C5:F9))</f>
        <v>0</v>
      </c>
      <c r="N1" s="1891">
        <f>SUMPRODUCT((因素修正幅度!B5:B9=I2)*(因素修正幅度!C3:F3=E2)*(因素修正幅度!C5:F9))</f>
        <v>0</v>
      </c>
      <c r="O1" s="2200"/>
      <c r="P1" s="2200"/>
      <c r="Q1" s="2200"/>
      <c r="R1" s="2976" t="s">
        <v>2780</v>
      </c>
      <c r="S1" s="2976" t="s">
        <v>2781</v>
      </c>
      <c r="T1" s="2976" t="s">
        <v>2802</v>
      </c>
      <c r="U1" s="2976" t="s">
        <v>2803</v>
      </c>
      <c r="V1" s="2976" t="s">
        <v>2804</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2250</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2956</v>
      </c>
      <c r="G3" s="1042">
        <f>IF(F3="宗地容积率",'数据-汇总表'!I4,IF(F3="估价对象容积率",'数据-汇总表'!I6,'数据-汇总表'!I7))</f>
        <v>2</v>
      </c>
      <c r="H3" s="1419" t="s">
        <v>932</v>
      </c>
      <c r="I3" s="1043">
        <v>8</v>
      </c>
      <c r="J3" s="1415" t="s">
        <v>933</v>
      </c>
      <c r="K3" s="1406"/>
      <c r="L3" s="1892" t="s">
        <v>2251</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2291</v>
      </c>
      <c r="B4" s="2489" t="e">
        <f>ROUND(B2*10000/F1,0)</f>
        <v>#DIV/0!</v>
      </c>
      <c r="C4" s="1901" t="s">
        <v>2265</v>
      </c>
      <c r="D4" s="1901" t="e">
        <f>ROUND(B2/(F1/666.67),0)</f>
        <v>#DIV/0!</v>
      </c>
      <c r="E4" s="1901" t="s">
        <v>2266</v>
      </c>
      <c r="F4" s="1899"/>
      <c r="G4" s="1899"/>
      <c r="H4" s="1899"/>
      <c r="I4" s="1899"/>
      <c r="J4" s="1900"/>
      <c r="K4" s="1406"/>
      <c r="L4" s="1892" t="s">
        <v>2252</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2253</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2254</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72" t="str">
        <f>IF(E2="商业",IF(C8="不临58条商业街","",2),"")</f>
        <v/>
      </c>
      <c r="B7" s="1433" t="s">
        <v>935</v>
      </c>
      <c r="C7" s="1046" t="e">
        <f>IF(C8="不临58条商业街",1,ROUND(1+(1.6*E8+1.2*E9+0.8*E10+0.4*E11)*C9,4))</f>
        <v>#DIV/0!</v>
      </c>
      <c r="D7" s="1434" t="s">
        <v>936</v>
      </c>
      <c r="E7" s="1047"/>
      <c r="F7" s="1435"/>
      <c r="G7" s="1436"/>
      <c r="H7" s="1436"/>
      <c r="I7" s="1436"/>
      <c r="J7" s="1437"/>
      <c r="K7" s="1601"/>
      <c r="L7" s="1892" t="s">
        <v>2255</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2783</v>
      </c>
      <c r="X7" s="2967">
        <f>G2</f>
        <v>0</v>
      </c>
      <c r="Y7" s="2967" t="s">
        <v>2784</v>
      </c>
      <c r="Z7" s="2968">
        <f>G3</f>
        <v>2</v>
      </c>
      <c r="AA7" s="2203"/>
      <c r="AB7" s="2203"/>
      <c r="AC7" s="2204"/>
      <c r="AD7" s="2969"/>
      <c r="AE7" s="2969"/>
      <c r="AF7" s="2969"/>
      <c r="AG7" s="2969"/>
      <c r="AH7" s="2969"/>
      <c r="AI7" s="2969"/>
      <c r="AJ7" s="2970"/>
    </row>
    <row r="8" spans="1:39" ht="15">
      <c r="A8" s="3373"/>
      <c r="B8" s="1419" t="s">
        <v>937</v>
      </c>
      <c r="C8" s="1535"/>
      <c r="D8" s="1048" t="s">
        <v>938</v>
      </c>
      <c r="E8" s="1049" t="e">
        <f>ROUND(C11/E7,4)</f>
        <v>#DIV/0!</v>
      </c>
      <c r="F8" s="1438" t="s">
        <v>939</v>
      </c>
      <c r="G8" s="1439"/>
      <c r="H8" s="1439"/>
      <c r="I8" s="1439"/>
      <c r="J8" s="1440"/>
      <c r="K8" s="1406"/>
      <c r="L8" s="1892" t="s">
        <v>2256</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79" t="s">
        <v>2801</v>
      </c>
      <c r="X8" s="3380"/>
      <c r="Y8" s="1856" t="s">
        <v>2785</v>
      </c>
      <c r="Z8" s="1856" t="s">
        <v>2786</v>
      </c>
      <c r="AA8" s="1856" t="s">
        <v>2787</v>
      </c>
      <c r="AB8" s="1856" t="s">
        <v>2788</v>
      </c>
      <c r="AC8" s="1856" t="s">
        <v>2789</v>
      </c>
      <c r="AD8" s="1856" t="s">
        <v>2790</v>
      </c>
      <c r="AE8" s="1856" t="s">
        <v>2791</v>
      </c>
      <c r="AF8" s="1856" t="s">
        <v>2792</v>
      </c>
      <c r="AG8" s="1856" t="s">
        <v>2793</v>
      </c>
      <c r="AH8" s="1856" t="s">
        <v>2794</v>
      </c>
      <c r="AI8" s="1856" t="s">
        <v>2795</v>
      </c>
      <c r="AJ8" s="1856" t="s">
        <v>2796</v>
      </c>
    </row>
    <row r="9" spans="1:39" ht="15">
      <c r="A9" s="3373"/>
      <c r="B9" s="1419" t="s">
        <v>940</v>
      </c>
      <c r="C9" s="1050">
        <f>SUMIF(修正!C59:C119,C8,修正!E59:E119)</f>
        <v>0</v>
      </c>
      <c r="D9" s="1051" t="s">
        <v>941</v>
      </c>
      <c r="E9" s="1051" t="e">
        <f>ROUND(C11/E7,4)</f>
        <v>#DIV/0!</v>
      </c>
      <c r="F9" s="1438" t="s">
        <v>942</v>
      </c>
      <c r="G9" s="1439"/>
      <c r="H9" s="1439"/>
      <c r="I9" s="1439"/>
      <c r="J9" s="1440"/>
      <c r="K9" s="1406"/>
      <c r="L9" s="1892" t="s">
        <v>2257</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78" t="s">
        <v>2797</v>
      </c>
      <c r="X9" s="2971" t="s">
        <v>2798</v>
      </c>
      <c r="Y9" s="3139"/>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73"/>
      <c r="B10" s="1419" t="s">
        <v>943</v>
      </c>
      <c r="C10" s="1051">
        <f>SUMIF(修正!C59:C119,C8,修正!F59:F119)</f>
        <v>0</v>
      </c>
      <c r="D10" s="1051" t="s">
        <v>944</v>
      </c>
      <c r="E10" s="1051" t="e">
        <f>ROUND(C11/E7,4)</f>
        <v>#DIV/0!</v>
      </c>
      <c r="F10" s="1438" t="s">
        <v>945</v>
      </c>
      <c r="G10" s="1439"/>
      <c r="H10" s="1439"/>
      <c r="I10" s="1439"/>
      <c r="J10" s="1440"/>
      <c r="K10" s="1406"/>
      <c r="L10" s="1892" t="s">
        <v>2258</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78"/>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73"/>
      <c r="B11" s="1441" t="s">
        <v>946</v>
      </c>
      <c r="C11" s="1052">
        <f>C10/4</f>
        <v>0</v>
      </c>
      <c r="D11" s="1052" t="s">
        <v>947</v>
      </c>
      <c r="E11" s="1052" t="e">
        <f>ROUND(C11/E7,4)</f>
        <v>#DIV/0!</v>
      </c>
      <c r="F11" s="1442" t="s">
        <v>948</v>
      </c>
      <c r="G11" s="1443"/>
      <c r="H11" s="1443"/>
      <c r="I11" s="1443"/>
      <c r="J11" s="1444"/>
      <c r="K11" s="1406"/>
      <c r="L11" s="1892" t="s">
        <v>2259</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78" t="s">
        <v>2799</v>
      </c>
      <c r="X11" s="1051" t="s">
        <v>2784</v>
      </c>
      <c r="Y11" s="1659">
        <f>$G$3</f>
        <v>2</v>
      </c>
      <c r="Z11" s="1659">
        <f t="shared" ref="Z11:AJ11" si="3">$G$3</f>
        <v>2</v>
      </c>
      <c r="AA11" s="1659">
        <f t="shared" si="3"/>
        <v>2</v>
      </c>
      <c r="AB11" s="1659">
        <f t="shared" si="3"/>
        <v>2</v>
      </c>
      <c r="AC11" s="1659">
        <f t="shared" si="3"/>
        <v>2</v>
      </c>
      <c r="AD11" s="1659">
        <f t="shared" si="3"/>
        <v>2</v>
      </c>
      <c r="AE11" s="1659">
        <f t="shared" si="3"/>
        <v>2</v>
      </c>
      <c r="AF11" s="1659">
        <f t="shared" si="3"/>
        <v>2</v>
      </c>
      <c r="AG11" s="1659">
        <f t="shared" si="3"/>
        <v>2</v>
      </c>
      <c r="AH11" s="1659">
        <f t="shared" si="3"/>
        <v>2</v>
      </c>
      <c r="AI11" s="1659">
        <f t="shared" si="3"/>
        <v>2</v>
      </c>
      <c r="AJ11" s="1659">
        <f t="shared" si="3"/>
        <v>2</v>
      </c>
    </row>
    <row r="12" spans="1:39" ht="25.5" thickBot="1">
      <c r="A12" s="3372" t="s">
        <v>1876</v>
      </c>
      <c r="B12" s="1445" t="s">
        <v>949</v>
      </c>
      <c r="C12" s="1046">
        <f>ROUND(C15*D15*E15*F15*G15*H15*I15*J15,4)</f>
        <v>1</v>
      </c>
      <c r="D12" s="1446" t="s">
        <v>950</v>
      </c>
      <c r="E12" s="1447"/>
      <c r="F12" s="1447"/>
      <c r="G12" s="1448"/>
      <c r="H12" s="1448"/>
      <c r="I12" s="1448"/>
      <c r="J12" s="1449"/>
      <c r="K12" s="1406"/>
      <c r="L12" s="1895" t="s">
        <v>2260</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78"/>
      <c r="X12" s="2974" t="s">
        <v>2800</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74"/>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78"/>
      <c r="X13" s="2974"/>
      <c r="Y13" s="2973">
        <f>(-0.163*(Y12^2)-0.59*Y12+7617)*(10^(-4))/Y11</f>
        <v>0.38085000000000002</v>
      </c>
      <c r="Z13" s="2973">
        <f t="shared" ref="Z13:AJ13" si="5">(-0.163*(Z12^2)-0.59*Z12+7617)*(10^(-4))/Z11</f>
        <v>0.38085000000000002</v>
      </c>
      <c r="AA13" s="2973">
        <f t="shared" si="5"/>
        <v>0.38085000000000002</v>
      </c>
      <c r="AB13" s="2973">
        <f t="shared" si="5"/>
        <v>0.38085000000000002</v>
      </c>
      <c r="AC13" s="2973">
        <f t="shared" si="5"/>
        <v>0.38085000000000002</v>
      </c>
      <c r="AD13" s="2973">
        <f t="shared" si="5"/>
        <v>0.38085000000000002</v>
      </c>
      <c r="AE13" s="2973">
        <f t="shared" si="5"/>
        <v>0.38085000000000002</v>
      </c>
      <c r="AF13" s="2973">
        <f t="shared" si="5"/>
        <v>0.38085000000000002</v>
      </c>
      <c r="AG13" s="2973">
        <f t="shared" si="5"/>
        <v>0.38085000000000002</v>
      </c>
      <c r="AH13" s="2973">
        <f t="shared" si="5"/>
        <v>0.38085000000000002</v>
      </c>
      <c r="AI13" s="2973">
        <f t="shared" si="5"/>
        <v>0.38085000000000002</v>
      </c>
      <c r="AJ13" s="2973">
        <f t="shared" si="5"/>
        <v>0.38085000000000002</v>
      </c>
    </row>
    <row r="14" spans="1:39" ht="12.75" customHeight="1" thickBot="1">
      <c r="A14" s="3374"/>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75"/>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72"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73"/>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42923</v>
      </c>
      <c r="H19" s="1481" t="s">
        <v>2957</v>
      </c>
      <c r="I19" s="2824" t="str">
        <f>IF(H19="季度增幅（自定义）",SUMIF(N21:N24,E2,O21:O24),"")</f>
        <v/>
      </c>
      <c r="J19" s="1477"/>
      <c r="K19" s="1487"/>
      <c r="L19" s="3080" t="s">
        <v>2859</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6">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2860</v>
      </c>
      <c r="M20" s="3083">
        <f>ROUND(SUMPRODUCT((地价!A4:A19=YEAR(G19)&amp;"-"&amp;ROUNDUP(MONTH(G19)/3,0))*(地价!B2:F2=E2)*(地价!B4:F19)),0)</f>
        <v>0</v>
      </c>
      <c r="N20" s="2829" t="s">
        <v>2663</v>
      </c>
      <c r="O20" s="2827" t="s">
        <v>2662</v>
      </c>
      <c r="P20" s="2828" t="s">
        <v>2668</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2779</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t="b">
        <f>IF(E22=G22,F22,IF(G3&lt;=10,ROUND(F22+(H22-F22)*(G3-E22)/(G22-E22),4),"——"))</f>
        <v>0</v>
      </c>
      <c r="E22" s="1042">
        <f>ROUNDDOWN(G3,1)</f>
        <v>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2666</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2261</v>
      </c>
      <c r="G46" s="2467" t="s">
        <v>1018</v>
      </c>
      <c r="H46" s="2450" t="s">
        <v>2431</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8" t="s">
        <v>2959</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7" t="s">
        <v>2958</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2262</v>
      </c>
      <c r="G57" s="2467" t="s">
        <v>1018</v>
      </c>
      <c r="H57" s="2450" t="s">
        <v>2431</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8" t="s">
        <v>2960</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7" t="s">
        <v>2958</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2263</v>
      </c>
      <c r="G68" s="2467" t="s">
        <v>1018</v>
      </c>
      <c r="H68" s="2450" t="s">
        <v>2431</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7" t="s">
        <v>2958</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2264</v>
      </c>
      <c r="G79" s="2467" t="s">
        <v>1018</v>
      </c>
      <c r="H79" s="2450" t="s">
        <v>2431</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7" t="s">
        <v>2958</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76" t="s">
        <v>1637</v>
      </c>
      <c r="B90" s="3376"/>
      <c r="C90" s="3376"/>
      <c r="D90" s="3376"/>
      <c r="E90" s="3376"/>
      <c r="F90" s="3376"/>
      <c r="G90" s="3376"/>
      <c r="H90" s="3376"/>
      <c r="I90" s="3376"/>
      <c r="J90" s="3376"/>
      <c r="K90" s="2486"/>
      <c r="L90" s="2486"/>
      <c r="M90" s="2486"/>
      <c r="N90" s="2486"/>
    </row>
    <row r="91" spans="1:40">
      <c r="A91" s="3377" t="s">
        <v>1447</v>
      </c>
      <c r="B91" s="3377" t="s">
        <v>1638</v>
      </c>
      <c r="C91" s="1143" t="s">
        <v>1639</v>
      </c>
      <c r="D91" s="1144"/>
      <c r="E91" s="1144"/>
      <c r="F91" s="1144"/>
      <c r="G91" s="1144"/>
      <c r="H91" s="1144"/>
      <c r="I91" s="1144"/>
      <c r="J91" s="1145"/>
      <c r="K91" s="1137"/>
      <c r="L91" s="1137"/>
      <c r="M91" s="1137"/>
      <c r="N91" s="1137"/>
    </row>
    <row r="92" spans="1:40">
      <c r="A92" s="3377"/>
      <c r="B92" s="3377"/>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81" t="s">
        <v>2782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2"/>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2"/>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2"/>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2"/>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2"/>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2"/>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3"/>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1" t="s">
        <v>1641</v>
      </c>
      <c r="B101" s="1150" t="s">
        <v>909</v>
      </c>
      <c r="C101" s="1151">
        <f>$G$3</f>
        <v>2</v>
      </c>
      <c r="D101" s="1151">
        <f t="shared" ref="D101:N101" si="31">$G$3</f>
        <v>2</v>
      </c>
      <c r="E101" s="1151">
        <f t="shared" si="31"/>
        <v>2</v>
      </c>
      <c r="F101" s="1151">
        <f t="shared" si="31"/>
        <v>2</v>
      </c>
      <c r="G101" s="1151">
        <f t="shared" si="31"/>
        <v>2</v>
      </c>
      <c r="H101" s="1151">
        <f t="shared" si="31"/>
        <v>2</v>
      </c>
      <c r="I101" s="1151">
        <f t="shared" si="31"/>
        <v>2</v>
      </c>
      <c r="J101" s="1151">
        <f t="shared" si="31"/>
        <v>2</v>
      </c>
      <c r="K101" s="1151">
        <f t="shared" si="31"/>
        <v>2</v>
      </c>
      <c r="L101" s="1151">
        <f t="shared" si="31"/>
        <v>2</v>
      </c>
      <c r="M101" s="1151">
        <f t="shared" si="31"/>
        <v>2</v>
      </c>
      <c r="N101" s="1151">
        <f t="shared" si="31"/>
        <v>2</v>
      </c>
    </row>
    <row r="102" spans="1:14">
      <c r="A102" s="3382"/>
      <c r="B102" s="1146">
        <v>1</v>
      </c>
      <c r="C102" s="1147">
        <f>1.9362/C101</f>
        <v>0.96809999999999996</v>
      </c>
      <c r="D102" s="1147">
        <f>1.9362/D101</f>
        <v>0.96809999999999996</v>
      </c>
      <c r="E102" s="1147">
        <f>1.8629/E101</f>
        <v>0.93145</v>
      </c>
      <c r="F102" s="1147">
        <f>1.8629/F101</f>
        <v>0.93145</v>
      </c>
      <c r="G102" s="1147">
        <f>1.8629/G101</f>
        <v>0.93145</v>
      </c>
      <c r="H102" s="1147">
        <f>1.8629/H101</f>
        <v>0.93145</v>
      </c>
      <c r="I102" s="1147">
        <f>1.8629/I101</f>
        <v>0.93145</v>
      </c>
      <c r="J102" s="1147">
        <f>1.942/J101</f>
        <v>0.97099999999999997</v>
      </c>
      <c r="K102" s="1147">
        <f>1.942/K101</f>
        <v>0.97099999999999997</v>
      </c>
      <c r="L102" s="1147">
        <f>1.942/L101</f>
        <v>0.97099999999999997</v>
      </c>
      <c r="M102" s="1147">
        <f>1.942/M101</f>
        <v>0.97099999999999997</v>
      </c>
      <c r="N102" s="1147">
        <f>1.942/N101</f>
        <v>0.97099999999999997</v>
      </c>
    </row>
    <row r="103" spans="1:14">
      <c r="A103" s="3382"/>
      <c r="B103" s="1146">
        <v>2</v>
      </c>
      <c r="C103" s="1147">
        <f>1.4198/C101</f>
        <v>0.70989999999999998</v>
      </c>
      <c r="D103" s="1147">
        <f>1.4198/D101</f>
        <v>0.70989999999999998</v>
      </c>
      <c r="E103" s="1147">
        <f>1.3372/E101</f>
        <v>0.66859999999999997</v>
      </c>
      <c r="F103" s="1147">
        <f>1.3372/F101</f>
        <v>0.66859999999999997</v>
      </c>
      <c r="G103" s="1147">
        <f>1.3372/G101</f>
        <v>0.66859999999999997</v>
      </c>
      <c r="H103" s="1147">
        <f>1.3372/H101</f>
        <v>0.66859999999999997</v>
      </c>
      <c r="I103" s="1147">
        <f>1.3372/I101</f>
        <v>0.66859999999999997</v>
      </c>
      <c r="J103" s="1147">
        <f>1.2799/J101</f>
        <v>0.63995000000000002</v>
      </c>
      <c r="K103" s="1147">
        <f>1.2799/K101</f>
        <v>0.63995000000000002</v>
      </c>
      <c r="L103" s="1147">
        <f>1.2799/L101</f>
        <v>0.63995000000000002</v>
      </c>
      <c r="M103" s="1147">
        <f>1.2799/M101</f>
        <v>0.63995000000000002</v>
      </c>
      <c r="N103" s="1147">
        <f>1.2799/N101</f>
        <v>0.63995000000000002</v>
      </c>
    </row>
    <row r="104" spans="1:14">
      <c r="A104" s="3382"/>
      <c r="B104" s="1146">
        <v>3</v>
      </c>
      <c r="C104" s="1147">
        <f>1.1594/C101</f>
        <v>0.57969999999999999</v>
      </c>
      <c r="D104" s="1147">
        <f>1.1594/D101</f>
        <v>0.57969999999999999</v>
      </c>
      <c r="E104" s="1147">
        <f>1.0788/E101</f>
        <v>0.53939999999999999</v>
      </c>
      <c r="F104" s="1147">
        <f>1.0788/F101</f>
        <v>0.53939999999999999</v>
      </c>
      <c r="G104" s="1147">
        <f>1.0788/G101</f>
        <v>0.53939999999999999</v>
      </c>
      <c r="H104" s="1147">
        <f>1.0788/H101</f>
        <v>0.53939999999999999</v>
      </c>
      <c r="I104" s="1147">
        <f>1.0788/I101</f>
        <v>0.53939999999999999</v>
      </c>
      <c r="J104" s="1147">
        <f>1.0072/J101</f>
        <v>0.50360000000000005</v>
      </c>
      <c r="K104" s="1147">
        <f>1.0072/K101</f>
        <v>0.50360000000000005</v>
      </c>
      <c r="L104" s="1147">
        <f>1.0072/L101</f>
        <v>0.50360000000000005</v>
      </c>
      <c r="M104" s="1147">
        <f>1.0072/M101</f>
        <v>0.50360000000000005</v>
      </c>
      <c r="N104" s="1147">
        <f>1.0072/N101</f>
        <v>0.50360000000000005</v>
      </c>
    </row>
    <row r="105" spans="1:14">
      <c r="A105" s="3382"/>
      <c r="B105" s="1146">
        <v>4</v>
      </c>
      <c r="C105" s="1147">
        <f>0.9622/C101</f>
        <v>0.48110000000000003</v>
      </c>
      <c r="D105" s="1147">
        <f>0.9622/D101</f>
        <v>0.48110000000000003</v>
      </c>
      <c r="E105" s="1147">
        <f>0.8656/E101</f>
        <v>0.43280000000000002</v>
      </c>
      <c r="F105" s="1147">
        <f>0.8656/F101</f>
        <v>0.43280000000000002</v>
      </c>
      <c r="G105" s="1147">
        <f>0.8656/G101</f>
        <v>0.43280000000000002</v>
      </c>
      <c r="H105" s="1147">
        <f>0.8656/H101</f>
        <v>0.43280000000000002</v>
      </c>
      <c r="I105" s="1147">
        <f>0.8656/I101</f>
        <v>0.43280000000000002</v>
      </c>
      <c r="J105" s="1147">
        <f>0.7525/J101</f>
        <v>0.37624999999999997</v>
      </c>
      <c r="K105" s="1147">
        <f>0.7525/K101</f>
        <v>0.37624999999999997</v>
      </c>
      <c r="L105" s="1147">
        <f>0.7525/L101</f>
        <v>0.37624999999999997</v>
      </c>
      <c r="M105" s="1147">
        <f>0.7525/M101</f>
        <v>0.37624999999999997</v>
      </c>
      <c r="N105" s="1147">
        <f>0.7525/N101</f>
        <v>0.37624999999999997</v>
      </c>
    </row>
    <row r="106" spans="1:14">
      <c r="A106" s="3382"/>
      <c r="B106" s="1146">
        <v>5</v>
      </c>
      <c r="C106" s="1147">
        <f>0.8417/C101</f>
        <v>0.42085</v>
      </c>
      <c r="D106" s="1147">
        <f>0.8417/D101</f>
        <v>0.42085</v>
      </c>
      <c r="E106" s="1147">
        <f>0.7371/E101</f>
        <v>0.36854999999999999</v>
      </c>
      <c r="F106" s="1147">
        <f>0.7371/F101</f>
        <v>0.36854999999999999</v>
      </c>
      <c r="G106" s="1147">
        <f>0.7371/G101</f>
        <v>0.36854999999999999</v>
      </c>
      <c r="H106" s="1147">
        <f>0.7371/H101</f>
        <v>0.36854999999999999</v>
      </c>
      <c r="I106" s="1147">
        <f>0.7371/I101</f>
        <v>0.36854999999999999</v>
      </c>
      <c r="J106" s="1147">
        <f>0.5659/J101</f>
        <v>0.28294999999999998</v>
      </c>
      <c r="K106" s="1147">
        <f>0.5659/K101</f>
        <v>0.28294999999999998</v>
      </c>
      <c r="L106" s="1147">
        <f>0.5659/L101</f>
        <v>0.28294999999999998</v>
      </c>
      <c r="M106" s="1147">
        <f>0.5659/M101</f>
        <v>0.28294999999999998</v>
      </c>
      <c r="N106" s="1147">
        <f>0.5659/N101</f>
        <v>0.28294999999999998</v>
      </c>
    </row>
    <row r="107" spans="1:14">
      <c r="A107" s="3382"/>
      <c r="B107" s="1146">
        <v>6</v>
      </c>
      <c r="C107" s="1147">
        <f>0.7608/C101</f>
        <v>0.38040000000000002</v>
      </c>
      <c r="D107" s="1147">
        <f>0.7608/D101</f>
        <v>0.38040000000000002</v>
      </c>
      <c r="E107" s="1147">
        <f>0.6482/E101</f>
        <v>0.3241</v>
      </c>
      <c r="F107" s="1147">
        <f>0.6482/F101</f>
        <v>0.3241</v>
      </c>
      <c r="G107" s="1147">
        <f>0.6482/G101</f>
        <v>0.3241</v>
      </c>
      <c r="H107" s="1147">
        <f>0.6482/H101</f>
        <v>0.3241</v>
      </c>
      <c r="I107" s="1147">
        <f>0.6482/I101</f>
        <v>0.3241</v>
      </c>
      <c r="J107" s="1147">
        <f>0.4525/J101</f>
        <v>0.22625000000000001</v>
      </c>
      <c r="K107" s="1147">
        <f>0.4525/K101</f>
        <v>0.22625000000000001</v>
      </c>
      <c r="L107" s="1147">
        <f>0.4525/L101</f>
        <v>0.22625000000000001</v>
      </c>
      <c r="M107" s="1147">
        <f>0.4525/M101</f>
        <v>0.22625000000000001</v>
      </c>
      <c r="N107" s="1147">
        <f>0.4525/N101</f>
        <v>0.22625000000000001</v>
      </c>
    </row>
    <row r="108" spans="1:14">
      <c r="A108" s="3382"/>
      <c r="B108" s="3384"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3"/>
      <c r="B109" s="3385"/>
      <c r="C109" s="1149">
        <f>(-0.163*(C108^2)-0.59*C108+7617)*(10^(-4))/C101</f>
        <v>0.3800924</v>
      </c>
      <c r="D109" s="1149">
        <f>(-0.163*(D108^2)-0.59*D108+7617)*(10^(-4))/D101</f>
        <v>0.3800924</v>
      </c>
      <c r="E109" s="1149">
        <f>(-0.161*(E108^2)-7.509*E108+6533)*(10^(-4))/E101</f>
        <v>0.32313120000000001</v>
      </c>
      <c r="F109" s="1149">
        <f>(-0.161*(F108^2)-7.509*F108+6533)*(10^(-4))/F101</f>
        <v>0.32313120000000001</v>
      </c>
      <c r="G109" s="1149">
        <f>(-0.161*(G108^2)-7.509*G108+6533)*(10^(-4))/G101</f>
        <v>0.32313120000000001</v>
      </c>
      <c r="H109" s="1149">
        <f>(-0.161*(H108^2)-7.509*H108+6533)*(10^(-4))/H101</f>
        <v>0.32313120000000001</v>
      </c>
      <c r="I109" s="1149">
        <f>(-0.161*(I108^2)-7.509*I108+6533)*(10^(-4))/I101</f>
        <v>0.32313120000000001</v>
      </c>
      <c r="J109" s="1149">
        <f>(-0.214*(J108^2)-21.991*J108+4665)*(10^(-4))/J101</f>
        <v>0.22376880000000002</v>
      </c>
      <c r="K109" s="1149">
        <f>(-0.214*(K108^2)-21.991*K108+4665)*(10^(-4))/K101</f>
        <v>0.22376880000000002</v>
      </c>
      <c r="L109" s="1149">
        <f>(-0.214*(L108^2)-21.991*L108+4665)*(10^(-4))/L101</f>
        <v>0.22376880000000002</v>
      </c>
      <c r="M109" s="1149">
        <f>(-0.214*(M108^2)-21.991*M108+4665)*(10^(-4))/M101</f>
        <v>0.22376880000000002</v>
      </c>
      <c r="N109" s="1149">
        <f>(-0.214*(N108^2)-21.991*N108+4665)*(10^(-4))/N101</f>
        <v>0.22376880000000002</v>
      </c>
    </row>
    <row r="110" spans="1:14">
      <c r="A110" s="3371" t="s">
        <v>1643</v>
      </c>
      <c r="B110" s="3371"/>
      <c r="C110" s="3371"/>
      <c r="D110" s="3371"/>
      <c r="E110" s="3371"/>
      <c r="F110" s="3371"/>
      <c r="G110" s="3371"/>
      <c r="H110" s="3371"/>
      <c r="I110" s="3371"/>
      <c r="J110" s="3371"/>
      <c r="K110" s="2484"/>
      <c r="L110" s="2484"/>
      <c r="M110" s="2484"/>
      <c r="N110" s="2484"/>
    </row>
    <row r="112" spans="1:14" ht="12.75" thickBot="1"/>
    <row r="113" spans="1:13" ht="25.5" thickBot="1">
      <c r="A113" s="1019" t="s">
        <v>899</v>
      </c>
      <c r="B113" s="2487">
        <f>G3</f>
        <v>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0.91469999999999996</v>
      </c>
      <c r="C115" s="1033">
        <f>B115</f>
        <v>0.91469999999999996</v>
      </c>
      <c r="D115" s="1033">
        <f>ROUND(0.8331-0.0109*B113,4)</f>
        <v>0.81130000000000002</v>
      </c>
      <c r="E115" s="1033">
        <f>D115</f>
        <v>0.81130000000000002</v>
      </c>
      <c r="F115" s="1033">
        <f>E115</f>
        <v>0.81130000000000002</v>
      </c>
      <c r="G115" s="1033">
        <f>F115</f>
        <v>0.81130000000000002</v>
      </c>
      <c r="H115" s="1033">
        <f>G115</f>
        <v>0.81130000000000002</v>
      </c>
      <c r="I115" s="1033">
        <f>ROUND(0.689-0.0155*B113,4)</f>
        <v>0.65800000000000003</v>
      </c>
      <c r="J115" s="1033">
        <f t="shared" ref="J115:M118" si="33">I115</f>
        <v>0.65800000000000003</v>
      </c>
      <c r="K115" s="1033">
        <f t="shared" si="33"/>
        <v>0.65800000000000003</v>
      </c>
      <c r="L115" s="1033">
        <f t="shared" si="33"/>
        <v>0.65800000000000003</v>
      </c>
      <c r="M115" s="1034">
        <f t="shared" si="33"/>
        <v>0.65800000000000003</v>
      </c>
    </row>
    <row r="116" spans="1:13" ht="12.75">
      <c r="A116" s="1032" t="s">
        <v>904</v>
      </c>
      <c r="B116" s="1033">
        <f>ROUND(0.949-0.012*B113,4)</f>
        <v>0.92500000000000004</v>
      </c>
      <c r="C116" s="1033">
        <f>B116</f>
        <v>0.92500000000000004</v>
      </c>
      <c r="D116" s="1033">
        <f>ROUND(0.8567-0.013*B113,4)</f>
        <v>0.83069999999999999</v>
      </c>
      <c r="E116" s="1033">
        <f t="shared" ref="E116:H117" si="34">D116</f>
        <v>0.83069999999999999</v>
      </c>
      <c r="F116" s="1033">
        <f t="shared" si="34"/>
        <v>0.83069999999999999</v>
      </c>
      <c r="G116" s="1033">
        <f t="shared" si="34"/>
        <v>0.83069999999999999</v>
      </c>
      <c r="H116" s="1033">
        <f t="shared" si="34"/>
        <v>0.83069999999999999</v>
      </c>
      <c r="I116" s="1033">
        <f>ROUND(0.7694-0.014*B113,4)</f>
        <v>0.74139999999999995</v>
      </c>
      <c r="J116" s="1033">
        <f t="shared" si="33"/>
        <v>0.74139999999999995</v>
      </c>
      <c r="K116" s="1033">
        <f t="shared" si="33"/>
        <v>0.74139999999999995</v>
      </c>
      <c r="L116" s="1033">
        <f t="shared" si="33"/>
        <v>0.74139999999999995</v>
      </c>
      <c r="M116" s="1034">
        <f t="shared" si="33"/>
        <v>0.74139999999999995</v>
      </c>
    </row>
    <row r="117" spans="1:13" ht="12.75">
      <c r="A117" s="1035" t="s">
        <v>905</v>
      </c>
      <c r="B117" s="1033">
        <f>ROUND(0.8808-0.006*B113,4)</f>
        <v>0.86880000000000002</v>
      </c>
      <c r="C117" s="1033">
        <f>B117</f>
        <v>0.86880000000000002</v>
      </c>
      <c r="D117" s="1033">
        <f>ROUND(0.8748-0.008*B113,4)</f>
        <v>0.85880000000000001</v>
      </c>
      <c r="E117" s="1033">
        <f t="shared" si="34"/>
        <v>0.85880000000000001</v>
      </c>
      <c r="F117" s="1033">
        <f t="shared" si="34"/>
        <v>0.85880000000000001</v>
      </c>
      <c r="G117" s="1033">
        <f t="shared" si="34"/>
        <v>0.85880000000000001</v>
      </c>
      <c r="H117" s="1033">
        <f t="shared" si="34"/>
        <v>0.85880000000000001</v>
      </c>
      <c r="I117" s="1033">
        <f>ROUND(0.7412-0.0095*B113,4)</f>
        <v>0.72219999999999995</v>
      </c>
      <c r="J117" s="1033">
        <f t="shared" si="33"/>
        <v>0.72219999999999995</v>
      </c>
      <c r="K117" s="1033">
        <f t="shared" si="33"/>
        <v>0.72219999999999995</v>
      </c>
      <c r="L117" s="1033">
        <f t="shared" si="33"/>
        <v>0.72219999999999995</v>
      </c>
      <c r="M117" s="1034">
        <f t="shared" si="33"/>
        <v>0.72219999999999995</v>
      </c>
    </row>
    <row r="118" spans="1:13" ht="13.5" thickBot="1">
      <c r="A118" s="1036" t="s">
        <v>906</v>
      </c>
      <c r="B118" s="1037">
        <f>ROUND(0.7275-0.01*B113,4)</f>
        <v>0.70750000000000002</v>
      </c>
      <c r="C118" s="1037">
        <f>B118</f>
        <v>0.70750000000000002</v>
      </c>
      <c r="D118" s="1037">
        <f>ROUND(0.7043-0.012*B113,4)</f>
        <v>0.68030000000000002</v>
      </c>
      <c r="E118" s="1037">
        <f>D118</f>
        <v>0.68030000000000002</v>
      </c>
      <c r="F118" s="1037">
        <f>E118</f>
        <v>0.68030000000000002</v>
      </c>
      <c r="G118" s="1037">
        <f>ROUND(0.6299-0.0122*B113,4)</f>
        <v>0.60550000000000004</v>
      </c>
      <c r="H118" s="1037">
        <f>G118</f>
        <v>0.60550000000000004</v>
      </c>
      <c r="I118" s="1037">
        <f>ROUND(0.5667-0.0136*B113,4)</f>
        <v>0.53949999999999998</v>
      </c>
      <c r="J118" s="1037">
        <f t="shared" si="33"/>
        <v>0.53949999999999998</v>
      </c>
      <c r="K118" s="1037">
        <f t="shared" si="33"/>
        <v>0.53949999999999998</v>
      </c>
      <c r="L118" s="1037">
        <f t="shared" si="33"/>
        <v>0.53949999999999998</v>
      </c>
      <c r="M118" s="1038">
        <f t="shared" si="33"/>
        <v>0.53949999999999998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77" t="s">
        <v>1011</v>
      </c>
      <c r="B18" s="1157" t="s">
        <v>1450</v>
      </c>
      <c r="C18" s="1134" t="s">
        <v>1451</v>
      </c>
      <c r="D18" s="1135"/>
      <c r="E18" s="1157">
        <v>1</v>
      </c>
      <c r="F18" s="1136" t="s">
        <v>1452</v>
      </c>
      <c r="G18" s="1137"/>
      <c r="H18" s="1108"/>
      <c r="I18" s="1108"/>
    </row>
    <row r="19" spans="1:9" s="1605" customFormat="1" ht="19.5" customHeight="1">
      <c r="A19" s="3377"/>
      <c r="B19" s="3377" t="s">
        <v>1453</v>
      </c>
      <c r="C19" s="1134" t="s">
        <v>1454</v>
      </c>
      <c r="D19" s="1135"/>
      <c r="E19" s="1157">
        <v>0.9</v>
      </c>
      <c r="F19" s="1136" t="s">
        <v>1455</v>
      </c>
      <c r="G19" s="1137"/>
      <c r="H19" s="1108"/>
      <c r="I19" s="1108"/>
    </row>
    <row r="20" spans="1:9" s="1605" customFormat="1" ht="19.5" customHeight="1">
      <c r="A20" s="3377"/>
      <c r="B20" s="3377"/>
      <c r="C20" s="1134" t="s">
        <v>1456</v>
      </c>
      <c r="D20" s="1135"/>
      <c r="E20" s="1157">
        <v>1.1000000000000001</v>
      </c>
      <c r="F20" s="1136" t="s">
        <v>1457</v>
      </c>
      <c r="G20" s="1137"/>
      <c r="H20" s="1108"/>
      <c r="I20" s="1108"/>
    </row>
    <row r="21" spans="1:9" s="1605" customFormat="1" ht="19.5" customHeight="1">
      <c r="A21" s="3377"/>
      <c r="B21" s="3377"/>
      <c r="C21" s="1134" t="s">
        <v>1458</v>
      </c>
      <c r="D21" s="1135"/>
      <c r="E21" s="1157">
        <v>0.8</v>
      </c>
      <c r="F21" s="1136" t="s">
        <v>1459</v>
      </c>
      <c r="G21" s="1137"/>
      <c r="H21" s="1108"/>
      <c r="I21" s="1108"/>
    </row>
    <row r="22" spans="1:9" s="1605" customFormat="1" ht="19.5" customHeight="1">
      <c r="A22" s="3377"/>
      <c r="B22" s="3377"/>
      <c r="C22" s="1134" t="s">
        <v>1460</v>
      </c>
      <c r="D22" s="1135"/>
      <c r="E22" s="1157">
        <v>0.5</v>
      </c>
      <c r="F22" s="1136"/>
      <c r="G22" s="1137"/>
      <c r="H22" s="1108"/>
      <c r="I22" s="1108"/>
    </row>
    <row r="23" spans="1:9" s="1605" customFormat="1" ht="19.5" customHeight="1">
      <c r="A23" s="3377" t="s">
        <v>1033</v>
      </c>
      <c r="B23" s="1157" t="s">
        <v>1450</v>
      </c>
      <c r="C23" s="1134" t="s">
        <v>1461</v>
      </c>
      <c r="D23" s="1135"/>
      <c r="E23" s="1157">
        <v>1</v>
      </c>
      <c r="F23" s="1136" t="s">
        <v>1462</v>
      </c>
      <c r="G23" s="1137"/>
      <c r="H23" s="1108"/>
      <c r="I23" s="1108"/>
    </row>
    <row r="24" spans="1:9" s="1605" customFormat="1" ht="19.5" customHeight="1">
      <c r="A24" s="3377"/>
      <c r="B24" s="3377" t="s">
        <v>1453</v>
      </c>
      <c r="C24" s="1134" t="s">
        <v>1463</v>
      </c>
      <c r="D24" s="1135"/>
      <c r="E24" s="1157">
        <v>0.5</v>
      </c>
      <c r="F24" s="1136"/>
      <c r="G24" s="1137"/>
      <c r="H24" s="1108"/>
      <c r="I24" s="1108"/>
    </row>
    <row r="25" spans="1:9" s="1605" customFormat="1" ht="19.5" customHeight="1">
      <c r="A25" s="3377"/>
      <c r="B25" s="3377"/>
      <c r="C25" s="1134" t="s">
        <v>1464</v>
      </c>
      <c r="D25" s="1135"/>
      <c r="E25" s="1157">
        <v>1.1000000000000001</v>
      </c>
      <c r="F25" s="1136"/>
      <c r="G25" s="1137"/>
      <c r="H25" s="1108"/>
      <c r="I25" s="1108"/>
    </row>
    <row r="26" spans="1:9" s="1605" customFormat="1" ht="19.5" customHeight="1">
      <c r="A26" s="3377"/>
      <c r="B26" s="3377"/>
      <c r="C26" s="1134" t="s">
        <v>1465</v>
      </c>
      <c r="D26" s="1135"/>
      <c r="E26" s="1157">
        <v>1.1000000000000001</v>
      </c>
      <c r="F26" s="1136"/>
      <c r="G26" s="1137"/>
      <c r="H26" s="1108"/>
      <c r="I26" s="1108"/>
    </row>
    <row r="27" spans="1:9" s="1605" customFormat="1" ht="19.5" customHeight="1">
      <c r="A27" s="3377"/>
      <c r="B27" s="3377"/>
      <c r="C27" s="1134" t="s">
        <v>1466</v>
      </c>
      <c r="D27" s="1135"/>
      <c r="E27" s="1157">
        <v>0.9</v>
      </c>
      <c r="F27" s="1136" t="s">
        <v>1467</v>
      </c>
      <c r="G27" s="1137"/>
      <c r="H27" s="1108"/>
      <c r="I27" s="1108"/>
    </row>
    <row r="28" spans="1:9" s="1605" customFormat="1" ht="19.5" customHeight="1">
      <c r="A28" s="3377"/>
      <c r="B28" s="3377"/>
      <c r="C28" s="1134" t="s">
        <v>1468</v>
      </c>
      <c r="D28" s="1135"/>
      <c r="E28" s="1157">
        <v>0.9</v>
      </c>
      <c r="F28" s="1136" t="s">
        <v>1469</v>
      </c>
      <c r="G28" s="1137"/>
      <c r="H28" s="1108"/>
      <c r="I28" s="1108"/>
    </row>
    <row r="29" spans="1:9" s="1605" customFormat="1" ht="19.5" customHeight="1">
      <c r="A29" s="3377"/>
      <c r="B29" s="3377"/>
      <c r="C29" s="1134" t="s">
        <v>1470</v>
      </c>
      <c r="D29" s="1135"/>
      <c r="E29" s="1157">
        <v>0.9</v>
      </c>
      <c r="F29" s="1136" t="s">
        <v>1471</v>
      </c>
      <c r="G29" s="1137"/>
      <c r="H29" s="1108"/>
      <c r="I29" s="1108"/>
    </row>
    <row r="30" spans="1:9" s="1605" customFormat="1" ht="19.5" customHeight="1">
      <c r="A30" s="3377"/>
      <c r="B30" s="3377"/>
      <c r="C30" s="1134" t="s">
        <v>1472</v>
      </c>
      <c r="D30" s="1135"/>
      <c r="E30" s="1157">
        <v>0.9</v>
      </c>
      <c r="F30" s="1136" t="s">
        <v>1473</v>
      </c>
      <c r="G30" s="1137"/>
      <c r="H30" s="1108"/>
      <c r="I30" s="1108"/>
    </row>
    <row r="31" spans="1:9" s="1605" customFormat="1" ht="19.5" customHeight="1">
      <c r="A31" s="3377"/>
      <c r="B31" s="3377"/>
      <c r="C31" s="1134" t="s">
        <v>1474</v>
      </c>
      <c r="D31" s="1135"/>
      <c r="E31" s="1157">
        <v>0.8</v>
      </c>
      <c r="F31" s="1136" t="s">
        <v>1475</v>
      </c>
      <c r="G31" s="1137"/>
      <c r="H31" s="1108"/>
      <c r="I31" s="1108"/>
    </row>
    <row r="32" spans="1:9" s="1605" customFormat="1" ht="19.5" customHeight="1">
      <c r="A32" s="3377"/>
      <c r="B32" s="3377"/>
      <c r="C32" s="1134" t="s">
        <v>1476</v>
      </c>
      <c r="D32" s="1135"/>
      <c r="E32" s="1157">
        <v>0.8</v>
      </c>
      <c r="F32" s="1136" t="s">
        <v>1477</v>
      </c>
      <c r="G32" s="1137"/>
      <c r="H32" s="1108"/>
      <c r="I32" s="1108"/>
    </row>
    <row r="33" spans="1:9" s="1605" customFormat="1" ht="19.5" customHeight="1">
      <c r="A33" s="3377" t="s">
        <v>1478</v>
      </c>
      <c r="B33" s="1157" t="s">
        <v>1450</v>
      </c>
      <c r="C33" s="1134" t="s">
        <v>1479</v>
      </c>
      <c r="D33" s="1135"/>
      <c r="E33" s="1157">
        <v>1</v>
      </c>
      <c r="F33" s="1136" t="s">
        <v>1480</v>
      </c>
      <c r="G33" s="1137"/>
      <c r="H33" s="1108"/>
      <c r="I33" s="1108"/>
    </row>
    <row r="34" spans="1:9" s="1605" customFormat="1" ht="19.5" customHeight="1">
      <c r="A34" s="3377"/>
      <c r="B34" s="1157" t="s">
        <v>1453</v>
      </c>
      <c r="C34" s="1134" t="s">
        <v>1481</v>
      </c>
      <c r="D34" s="1135"/>
      <c r="E34" s="1157">
        <v>1.5</v>
      </c>
      <c r="F34" s="1136" t="s">
        <v>1482</v>
      </c>
      <c r="G34" s="1137"/>
      <c r="H34" s="1108"/>
      <c r="I34" s="1108"/>
    </row>
    <row r="35" spans="1:9" s="1605" customFormat="1" ht="19.5" customHeight="1">
      <c r="A35" s="3377" t="s">
        <v>1436</v>
      </c>
      <c r="B35" s="1157" t="s">
        <v>1450</v>
      </c>
      <c r="C35" s="1134" t="s">
        <v>1483</v>
      </c>
      <c r="D35" s="1135"/>
      <c r="E35" s="1157">
        <v>1</v>
      </c>
      <c r="F35" s="1136" t="s">
        <v>1484</v>
      </c>
      <c r="G35" s="1137"/>
      <c r="H35" s="1108"/>
      <c r="I35" s="1108"/>
    </row>
    <row r="36" spans="1:9" s="1605" customFormat="1" ht="19.5" customHeight="1">
      <c r="A36" s="3377"/>
      <c r="B36" s="3377" t="s">
        <v>1453</v>
      </c>
      <c r="C36" s="1134" t="s">
        <v>1485</v>
      </c>
      <c r="D36" s="1135"/>
      <c r="E36" s="1157">
        <v>1</v>
      </c>
      <c r="F36" s="1136" t="s">
        <v>1486</v>
      </c>
      <c r="G36" s="1137"/>
      <c r="H36" s="1108"/>
      <c r="I36" s="1108"/>
    </row>
    <row r="37" spans="1:9" s="1605" customFormat="1" ht="19.5" customHeight="1">
      <c r="A37" s="3377"/>
      <c r="B37" s="3377"/>
      <c r="C37" s="1134" t="s">
        <v>1487</v>
      </c>
      <c r="D37" s="1135"/>
      <c r="E37" s="1157">
        <v>1.5</v>
      </c>
      <c r="F37" s="1136" t="s">
        <v>1488</v>
      </c>
      <c r="G37" s="1137"/>
      <c r="H37" s="1108"/>
      <c r="I37" s="1108"/>
    </row>
    <row r="38" spans="1:9" s="1605" customFormat="1" ht="19.5" customHeight="1">
      <c r="A38" s="3377"/>
      <c r="B38" s="3377"/>
      <c r="C38" s="1134" t="s">
        <v>1489</v>
      </c>
      <c r="D38" s="1135"/>
      <c r="E38" s="1157">
        <v>1</v>
      </c>
      <c r="F38" s="1136" t="s">
        <v>1490</v>
      </c>
      <c r="G38" s="1137"/>
      <c r="H38" s="1108"/>
      <c r="I38" s="1108"/>
    </row>
    <row r="39" spans="1:9" s="1605" customFormat="1" ht="19.5" customHeight="1">
      <c r="A39" s="3377"/>
      <c r="B39" s="3377"/>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77" t="s">
        <v>1505</v>
      </c>
      <c r="C61" s="1071" t="s">
        <v>1506</v>
      </c>
      <c r="D61" s="1071" t="s">
        <v>1507</v>
      </c>
      <c r="E61" s="1142">
        <v>0.5</v>
      </c>
      <c r="F61" s="1157">
        <v>80</v>
      </c>
      <c r="H61" s="1108">
        <f>SUMIF(C59:C119,基准地价!C8,E59:E119)</f>
        <v>0</v>
      </c>
    </row>
    <row r="62" spans="1:8" s="1108" customFormat="1" ht="24">
      <c r="A62" s="1157">
        <v>2</v>
      </c>
      <c r="B62" s="3377"/>
      <c r="C62" s="1071" t="s">
        <v>1508</v>
      </c>
      <c r="D62" s="1071" t="s">
        <v>1509</v>
      </c>
      <c r="E62" s="1142">
        <v>0.5</v>
      </c>
      <c r="F62" s="1157">
        <v>80</v>
      </c>
    </row>
    <row r="63" spans="1:8" s="1108" customFormat="1" ht="36">
      <c r="A63" s="1157">
        <v>3</v>
      </c>
      <c r="B63" s="3377"/>
      <c r="C63" s="1071" t="s">
        <v>1510</v>
      </c>
      <c r="D63" s="1071" t="s">
        <v>1511</v>
      </c>
      <c r="E63" s="1142">
        <v>0.5</v>
      </c>
      <c r="F63" s="1157">
        <v>80</v>
      </c>
    </row>
    <row r="64" spans="1:8" s="1108" customFormat="1" ht="36">
      <c r="A64" s="1157">
        <v>4</v>
      </c>
      <c r="B64" s="3377"/>
      <c r="C64" s="1071" t="s">
        <v>1512</v>
      </c>
      <c r="D64" s="1071" t="s">
        <v>1513</v>
      </c>
      <c r="E64" s="1142">
        <v>0.4</v>
      </c>
      <c r="F64" s="1157">
        <v>60</v>
      </c>
    </row>
    <row r="65" spans="1:6" s="1108" customFormat="1" ht="36">
      <c r="A65" s="1157">
        <v>5</v>
      </c>
      <c r="B65" s="3377"/>
      <c r="C65" s="1071" t="s">
        <v>1514</v>
      </c>
      <c r="D65" s="1071" t="s">
        <v>1515</v>
      </c>
      <c r="E65" s="1142">
        <v>0.2</v>
      </c>
      <c r="F65" s="1157">
        <v>30</v>
      </c>
    </row>
    <row r="66" spans="1:6" s="1108" customFormat="1" ht="36">
      <c r="A66" s="1157">
        <v>6</v>
      </c>
      <c r="B66" s="3377"/>
      <c r="C66" s="1071" t="s">
        <v>1516</v>
      </c>
      <c r="D66" s="1071" t="s">
        <v>1517</v>
      </c>
      <c r="E66" s="1142">
        <v>0.3</v>
      </c>
      <c r="F66" s="1157">
        <v>50</v>
      </c>
    </row>
    <row r="67" spans="1:6" s="1108" customFormat="1" ht="36">
      <c r="A67" s="1157">
        <v>7</v>
      </c>
      <c r="B67" s="3377"/>
      <c r="C67" s="1071" t="s">
        <v>1518</v>
      </c>
      <c r="D67" s="1071" t="s">
        <v>1519</v>
      </c>
      <c r="E67" s="1142">
        <v>0.2</v>
      </c>
      <c r="F67" s="1157">
        <v>30</v>
      </c>
    </row>
    <row r="68" spans="1:6" s="1108" customFormat="1" ht="36">
      <c r="A68" s="1157">
        <v>8</v>
      </c>
      <c r="B68" s="3377"/>
      <c r="C68" s="1071" t="s">
        <v>1520</v>
      </c>
      <c r="D68" s="1071" t="s">
        <v>1521</v>
      </c>
      <c r="E68" s="1142">
        <v>0.2</v>
      </c>
      <c r="F68" s="1157">
        <v>30</v>
      </c>
    </row>
    <row r="69" spans="1:6" s="1108" customFormat="1" ht="36">
      <c r="A69" s="1157">
        <v>9</v>
      </c>
      <c r="B69" s="3377"/>
      <c r="C69" s="1071" t="s">
        <v>1522</v>
      </c>
      <c r="D69" s="1071" t="s">
        <v>1523</v>
      </c>
      <c r="E69" s="1142">
        <v>0.2</v>
      </c>
      <c r="F69" s="1157">
        <v>30</v>
      </c>
    </row>
    <row r="70" spans="1:6" s="1108" customFormat="1" ht="48">
      <c r="A70" s="1157">
        <v>10</v>
      </c>
      <c r="B70" s="3377"/>
      <c r="C70" s="1071" t="s">
        <v>1524</v>
      </c>
      <c r="D70" s="1071" t="s">
        <v>1525</v>
      </c>
      <c r="E70" s="1142">
        <v>0.2</v>
      </c>
      <c r="F70" s="1157">
        <v>30</v>
      </c>
    </row>
    <row r="71" spans="1:6" s="1108" customFormat="1" ht="48">
      <c r="A71" s="1157">
        <v>11</v>
      </c>
      <c r="B71" s="3377"/>
      <c r="C71" s="1071" t="s">
        <v>1526</v>
      </c>
      <c r="D71" s="1071" t="s">
        <v>1527</v>
      </c>
      <c r="E71" s="1142">
        <v>0.2</v>
      </c>
      <c r="F71" s="1157">
        <v>30</v>
      </c>
    </row>
    <row r="72" spans="1:6" s="1108" customFormat="1" ht="36">
      <c r="A72" s="1157">
        <v>12</v>
      </c>
      <c r="B72" s="3377"/>
      <c r="C72" s="1071" t="s">
        <v>1528</v>
      </c>
      <c r="D72" s="1071" t="s">
        <v>1529</v>
      </c>
      <c r="E72" s="1142">
        <v>0.5</v>
      </c>
      <c r="F72" s="1157">
        <v>80</v>
      </c>
    </row>
    <row r="73" spans="1:6" s="1108" customFormat="1" ht="24">
      <c r="A73" s="1157">
        <v>13</v>
      </c>
      <c r="B73" s="3377"/>
      <c r="C73" s="1071" t="s">
        <v>1530</v>
      </c>
      <c r="D73" s="1071" t="s">
        <v>1531</v>
      </c>
      <c r="E73" s="1142">
        <v>0.4</v>
      </c>
      <c r="F73" s="1157">
        <v>60</v>
      </c>
    </row>
    <row r="74" spans="1:6" s="1108" customFormat="1" ht="24">
      <c r="A74" s="1157">
        <v>14</v>
      </c>
      <c r="B74" s="3377"/>
      <c r="C74" s="1071" t="s">
        <v>1532</v>
      </c>
      <c r="D74" s="1071" t="s">
        <v>1533</v>
      </c>
      <c r="E74" s="1142">
        <v>0.2</v>
      </c>
      <c r="F74" s="1157">
        <v>30</v>
      </c>
    </row>
    <row r="75" spans="1:6" s="1108" customFormat="1" ht="24">
      <c r="A75" s="1157">
        <v>15</v>
      </c>
      <c r="B75" s="3377"/>
      <c r="C75" s="1071" t="s">
        <v>1534</v>
      </c>
      <c r="D75" s="1071" t="s">
        <v>1535</v>
      </c>
      <c r="E75" s="1142">
        <v>0.2</v>
      </c>
      <c r="F75" s="1157">
        <v>30</v>
      </c>
    </row>
    <row r="76" spans="1:6" s="1108" customFormat="1" ht="24">
      <c r="A76" s="1157">
        <v>16</v>
      </c>
      <c r="B76" s="3377" t="s">
        <v>1536</v>
      </c>
      <c r="C76" s="1071" t="s">
        <v>1537</v>
      </c>
      <c r="D76" s="1071" t="s">
        <v>1538</v>
      </c>
      <c r="E76" s="1142">
        <v>0.5</v>
      </c>
      <c r="F76" s="1157">
        <v>80</v>
      </c>
    </row>
    <row r="77" spans="1:6" s="1108" customFormat="1" ht="24">
      <c r="A77" s="1157">
        <v>17</v>
      </c>
      <c r="B77" s="3377"/>
      <c r="C77" s="1071" t="s">
        <v>1539</v>
      </c>
      <c r="D77" s="1071" t="s">
        <v>1540</v>
      </c>
      <c r="E77" s="1142">
        <v>0.5</v>
      </c>
      <c r="F77" s="1157">
        <v>80</v>
      </c>
    </row>
    <row r="78" spans="1:6" s="1108" customFormat="1" ht="24">
      <c r="A78" s="1157">
        <v>18</v>
      </c>
      <c r="B78" s="3377"/>
      <c r="C78" s="1071" t="s">
        <v>1541</v>
      </c>
      <c r="D78" s="1071" t="s">
        <v>1542</v>
      </c>
      <c r="E78" s="1142">
        <v>0.2</v>
      </c>
      <c r="F78" s="1157">
        <v>30</v>
      </c>
    </row>
    <row r="79" spans="1:6" s="1108" customFormat="1" ht="24">
      <c r="A79" s="1157">
        <v>19</v>
      </c>
      <c r="B79" s="3377"/>
      <c r="C79" s="1071" t="s">
        <v>1543</v>
      </c>
      <c r="D79" s="1071" t="s">
        <v>1544</v>
      </c>
      <c r="E79" s="1142">
        <v>0.5</v>
      </c>
      <c r="F79" s="1157">
        <v>80</v>
      </c>
    </row>
    <row r="80" spans="1:6" s="1108" customFormat="1" ht="36">
      <c r="A80" s="1157">
        <v>20</v>
      </c>
      <c r="B80" s="3377"/>
      <c r="C80" s="1071" t="s">
        <v>1545</v>
      </c>
      <c r="D80" s="1071" t="s">
        <v>1546</v>
      </c>
      <c r="E80" s="1142">
        <v>0.2</v>
      </c>
      <c r="F80" s="1157">
        <v>30</v>
      </c>
    </row>
    <row r="81" spans="1:6" s="1108" customFormat="1" ht="36">
      <c r="A81" s="1157">
        <v>21</v>
      </c>
      <c r="B81" s="3377"/>
      <c r="C81" s="1071" t="s">
        <v>1547</v>
      </c>
      <c r="D81" s="1071" t="s">
        <v>1548</v>
      </c>
      <c r="E81" s="1142">
        <v>0.2</v>
      </c>
      <c r="F81" s="1157">
        <v>30</v>
      </c>
    </row>
    <row r="82" spans="1:6" s="1108" customFormat="1" ht="48">
      <c r="A82" s="1157">
        <v>22</v>
      </c>
      <c r="B82" s="3377"/>
      <c r="C82" s="1071" t="s">
        <v>1549</v>
      </c>
      <c r="D82" s="1071" t="s">
        <v>1550</v>
      </c>
      <c r="E82" s="1142">
        <v>0.2</v>
      </c>
      <c r="F82" s="1157">
        <v>30</v>
      </c>
    </row>
    <row r="83" spans="1:6" s="1108" customFormat="1" ht="48">
      <c r="A83" s="1157">
        <v>23</v>
      </c>
      <c r="B83" s="3377"/>
      <c r="C83" s="1071" t="s">
        <v>1551</v>
      </c>
      <c r="D83" s="1071" t="s">
        <v>1552</v>
      </c>
      <c r="E83" s="1142">
        <v>0.2</v>
      </c>
      <c r="F83" s="1157">
        <v>30</v>
      </c>
    </row>
    <row r="84" spans="1:6" s="1108" customFormat="1" ht="36">
      <c r="A84" s="1157">
        <v>24</v>
      </c>
      <c r="B84" s="3377"/>
      <c r="C84" s="1071" t="s">
        <v>1553</v>
      </c>
      <c r="D84" s="1071" t="s">
        <v>1554</v>
      </c>
      <c r="E84" s="1142">
        <v>0.2</v>
      </c>
      <c r="F84" s="1157">
        <v>30</v>
      </c>
    </row>
    <row r="85" spans="1:6" s="1108" customFormat="1" ht="36">
      <c r="A85" s="1157">
        <v>25</v>
      </c>
      <c r="B85" s="3377"/>
      <c r="C85" s="1071" t="s">
        <v>1555</v>
      </c>
      <c r="D85" s="1071" t="s">
        <v>1556</v>
      </c>
      <c r="E85" s="1142">
        <v>0.5</v>
      </c>
      <c r="F85" s="1157">
        <v>80</v>
      </c>
    </row>
    <row r="86" spans="1:6" s="1108" customFormat="1" ht="36">
      <c r="A86" s="1157">
        <v>26</v>
      </c>
      <c r="B86" s="3377"/>
      <c r="C86" s="1071" t="s">
        <v>1557</v>
      </c>
      <c r="D86" s="1071" t="s">
        <v>1558</v>
      </c>
      <c r="E86" s="1142">
        <v>0.2</v>
      </c>
      <c r="F86" s="1157">
        <v>30</v>
      </c>
    </row>
    <row r="87" spans="1:6" s="1108" customFormat="1" ht="36">
      <c r="A87" s="1157">
        <v>27</v>
      </c>
      <c r="B87" s="3377"/>
      <c r="C87" s="1071" t="s">
        <v>1559</v>
      </c>
      <c r="D87" s="1071" t="s">
        <v>1560</v>
      </c>
      <c r="E87" s="1142">
        <v>0.2</v>
      </c>
      <c r="F87" s="1157">
        <v>30</v>
      </c>
    </row>
    <row r="88" spans="1:6" s="1108" customFormat="1" ht="36">
      <c r="A88" s="1157">
        <v>28</v>
      </c>
      <c r="B88" s="3377"/>
      <c r="C88" s="1071" t="s">
        <v>1561</v>
      </c>
      <c r="D88" s="1071" t="s">
        <v>1562</v>
      </c>
      <c r="E88" s="1142">
        <v>0.2</v>
      </c>
      <c r="F88" s="1157">
        <v>30</v>
      </c>
    </row>
    <row r="89" spans="1:6" s="1108" customFormat="1" ht="24">
      <c r="A89" s="1157">
        <v>29</v>
      </c>
      <c r="B89" s="3377"/>
      <c r="C89" s="1071" t="s">
        <v>1563</v>
      </c>
      <c r="D89" s="1071" t="s">
        <v>1564</v>
      </c>
      <c r="E89" s="1142">
        <v>0.2</v>
      </c>
      <c r="F89" s="1157">
        <v>30</v>
      </c>
    </row>
    <row r="90" spans="1:6" s="1108" customFormat="1" ht="24">
      <c r="A90" s="1157">
        <v>30</v>
      </c>
      <c r="B90" s="3377"/>
      <c r="C90" s="1071" t="s">
        <v>1565</v>
      </c>
      <c r="D90" s="1071" t="s">
        <v>1566</v>
      </c>
      <c r="E90" s="1142">
        <v>0.2</v>
      </c>
      <c r="F90" s="1157">
        <v>30</v>
      </c>
    </row>
    <row r="91" spans="1:6" s="1108" customFormat="1" ht="36">
      <c r="A91" s="1157">
        <v>31</v>
      </c>
      <c r="B91" s="3377"/>
      <c r="C91" s="1071" t="s">
        <v>1567</v>
      </c>
      <c r="D91" s="1071" t="s">
        <v>1568</v>
      </c>
      <c r="E91" s="1142">
        <v>0.2</v>
      </c>
      <c r="F91" s="1157">
        <v>30</v>
      </c>
    </row>
    <row r="92" spans="1:6" s="1108" customFormat="1" ht="24">
      <c r="A92" s="1157">
        <v>32</v>
      </c>
      <c r="B92" s="3377" t="s">
        <v>1569</v>
      </c>
      <c r="C92" s="1157" t="s">
        <v>1570</v>
      </c>
      <c r="D92" s="1071" t="s">
        <v>1571</v>
      </c>
      <c r="E92" s="1142">
        <v>0.2</v>
      </c>
      <c r="F92" s="1157">
        <v>30</v>
      </c>
    </row>
    <row r="93" spans="1:6" s="1108" customFormat="1" ht="36">
      <c r="A93" s="1157">
        <v>33</v>
      </c>
      <c r="B93" s="3377"/>
      <c r="C93" s="1157" t="s">
        <v>1572</v>
      </c>
      <c r="D93" s="1071" t="s">
        <v>1573</v>
      </c>
      <c r="E93" s="1142">
        <v>0.2</v>
      </c>
      <c r="F93" s="1157">
        <v>30</v>
      </c>
    </row>
    <row r="94" spans="1:6" s="1108" customFormat="1" ht="48">
      <c r="A94" s="1157">
        <v>34</v>
      </c>
      <c r="B94" s="3377"/>
      <c r="C94" s="1157" t="s">
        <v>1574</v>
      </c>
      <c r="D94" s="1071" t="s">
        <v>1575</v>
      </c>
      <c r="E94" s="1142">
        <v>0.2</v>
      </c>
      <c r="F94" s="1157">
        <v>30</v>
      </c>
    </row>
    <row r="95" spans="1:6" s="1108" customFormat="1" ht="36">
      <c r="A95" s="1157">
        <v>35</v>
      </c>
      <c r="B95" s="3377"/>
      <c r="C95" s="1157" t="s">
        <v>1576</v>
      </c>
      <c r="D95" s="1071" t="s">
        <v>1577</v>
      </c>
      <c r="E95" s="1142">
        <v>0.2</v>
      </c>
      <c r="F95" s="1157">
        <v>30</v>
      </c>
    </row>
    <row r="96" spans="1:6" s="1108" customFormat="1" ht="48">
      <c r="A96" s="1157">
        <v>36</v>
      </c>
      <c r="B96" s="3377"/>
      <c r="C96" s="1071" t="s">
        <v>1578</v>
      </c>
      <c r="D96" s="1071" t="s">
        <v>1579</v>
      </c>
      <c r="E96" s="1142">
        <v>0.2</v>
      </c>
      <c r="F96" s="1157">
        <v>30</v>
      </c>
    </row>
    <row r="97" spans="1:6" s="1108" customFormat="1" ht="36">
      <c r="A97" s="1157">
        <v>37</v>
      </c>
      <c r="B97" s="3377"/>
      <c r="C97" s="1157" t="s">
        <v>1580</v>
      </c>
      <c r="D97" s="1071" t="s">
        <v>1581</v>
      </c>
      <c r="E97" s="1142">
        <v>0.2</v>
      </c>
      <c r="F97" s="1157">
        <v>30</v>
      </c>
    </row>
    <row r="98" spans="1:6" s="1108" customFormat="1" ht="36">
      <c r="A98" s="1157">
        <v>38</v>
      </c>
      <c r="B98" s="3377"/>
      <c r="C98" s="1157" t="s">
        <v>1582</v>
      </c>
      <c r="D98" s="1071" t="s">
        <v>1583</v>
      </c>
      <c r="E98" s="1142">
        <v>0.2</v>
      </c>
      <c r="F98" s="1157">
        <v>30</v>
      </c>
    </row>
    <row r="99" spans="1:6" s="1108" customFormat="1" ht="36">
      <c r="A99" s="1157">
        <v>39</v>
      </c>
      <c r="B99" s="3377" t="s">
        <v>1584</v>
      </c>
      <c r="C99" s="1157" t="s">
        <v>1585</v>
      </c>
      <c r="D99" s="1071" t="s">
        <v>1586</v>
      </c>
      <c r="E99" s="1142">
        <v>0.3</v>
      </c>
      <c r="F99" s="1157">
        <v>50</v>
      </c>
    </row>
    <row r="100" spans="1:6" s="1108" customFormat="1" ht="24">
      <c r="A100" s="1157">
        <v>40</v>
      </c>
      <c r="B100" s="3377"/>
      <c r="C100" s="1157" t="s">
        <v>1587</v>
      </c>
      <c r="D100" s="1071" t="s">
        <v>1588</v>
      </c>
      <c r="E100" s="1142">
        <v>0.2</v>
      </c>
      <c r="F100" s="1157">
        <v>30</v>
      </c>
    </row>
    <row r="101" spans="1:6" s="1108" customFormat="1" ht="36">
      <c r="A101" s="1157">
        <v>41</v>
      </c>
      <c r="B101" s="3377"/>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77" t="s">
        <v>1599</v>
      </c>
      <c r="C105" s="1157" t="s">
        <v>1600</v>
      </c>
      <c r="D105" s="1071" t="s">
        <v>1601</v>
      </c>
      <c r="E105" s="1142">
        <v>0.2</v>
      </c>
      <c r="F105" s="1157">
        <v>30</v>
      </c>
    </row>
    <row r="106" spans="1:6" s="1108" customFormat="1" ht="36">
      <c r="A106" s="1157">
        <v>46</v>
      </c>
      <c r="B106" s="3377"/>
      <c r="C106" s="1157" t="s">
        <v>1602</v>
      </c>
      <c r="D106" s="1071" t="s">
        <v>1603</v>
      </c>
      <c r="E106" s="1142">
        <v>0.2</v>
      </c>
      <c r="F106" s="1157">
        <v>30</v>
      </c>
    </row>
    <row r="107" spans="1:6" s="1108" customFormat="1" ht="36">
      <c r="A107" s="1157">
        <v>47</v>
      </c>
      <c r="B107" s="3377" t="s">
        <v>1604</v>
      </c>
      <c r="C107" s="1157" t="s">
        <v>1605</v>
      </c>
      <c r="D107" s="1071" t="s">
        <v>1606</v>
      </c>
      <c r="E107" s="1142">
        <v>0.3</v>
      </c>
      <c r="F107" s="1157">
        <v>50</v>
      </c>
    </row>
    <row r="108" spans="1:6" s="1108" customFormat="1" ht="36">
      <c r="A108" s="1157">
        <v>48</v>
      </c>
      <c r="B108" s="3377"/>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77" t="s">
        <v>1615</v>
      </c>
      <c r="C111" s="1157" t="s">
        <v>1616</v>
      </c>
      <c r="D111" s="1071" t="s">
        <v>1617</v>
      </c>
      <c r="E111" s="1142">
        <v>0.2</v>
      </c>
      <c r="F111" s="1157">
        <v>30</v>
      </c>
    </row>
    <row r="112" spans="1:6" s="1108" customFormat="1" ht="24">
      <c r="A112" s="1157">
        <v>52</v>
      </c>
      <c r="B112" s="3377"/>
      <c r="C112" s="1157" t="s">
        <v>1618</v>
      </c>
      <c r="D112" s="1071" t="s">
        <v>1619</v>
      </c>
      <c r="E112" s="1142">
        <v>0.2</v>
      </c>
      <c r="F112" s="1157">
        <v>30</v>
      </c>
    </row>
    <row r="113" spans="1:14" s="1108" customFormat="1" ht="24">
      <c r="A113" s="1157">
        <v>53</v>
      </c>
      <c r="B113" s="3377"/>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77" t="s">
        <v>1628</v>
      </c>
      <c r="C116" s="1157" t="s">
        <v>1629</v>
      </c>
      <c r="D116" s="1071" t="s">
        <v>1630</v>
      </c>
      <c r="E116" s="1142">
        <v>0.2</v>
      </c>
      <c r="F116" s="1157">
        <v>30</v>
      </c>
    </row>
    <row r="117" spans="1:14" ht="36">
      <c r="A117" s="1157">
        <v>57</v>
      </c>
      <c r="B117" s="3377"/>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6" t="s">
        <v>1637</v>
      </c>
      <c r="B121" s="3376"/>
      <c r="C121" s="3376"/>
      <c r="D121" s="3376"/>
      <c r="E121" s="3376"/>
      <c r="F121" s="3376"/>
      <c r="G121" s="3376"/>
      <c r="H121" s="3376"/>
      <c r="I121" s="3376"/>
      <c r="J121" s="3376"/>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6" t="s">
        <v>1043</v>
      </c>
      <c r="B1" s="3386"/>
      <c r="C1" s="3386"/>
      <c r="D1" s="3386"/>
      <c r="E1" s="3386"/>
      <c r="F1" s="3386"/>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87" t="s">
        <v>1056</v>
      </c>
      <c r="B2" s="3387"/>
      <c r="C2" s="3387"/>
      <c r="D2" s="3387"/>
      <c r="E2" s="3387"/>
      <c r="F2" s="3387"/>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88"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89"/>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2435</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2436</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0" t="s">
        <v>2090</v>
      </c>
      <c r="B1" s="3390"/>
    </row>
    <row r="2" spans="1:6" ht="14.25" thickBot="1">
      <c r="A2" s="1858"/>
      <c r="B2" s="1858"/>
    </row>
    <row r="3" spans="1:6" ht="14.25" thickBot="1">
      <c r="A3" s="1858"/>
      <c r="B3" s="1858"/>
      <c r="C3" s="1859" t="s">
        <v>2091</v>
      </c>
      <c r="D3" s="1859" t="s">
        <v>2092</v>
      </c>
      <c r="E3" s="1859" t="s">
        <v>2093</v>
      </c>
      <c r="F3" s="1859" t="s">
        <v>2094</v>
      </c>
    </row>
    <row r="4" spans="1:6" ht="14.25" thickBot="1">
      <c r="A4" s="1860" t="s">
        <v>2095</v>
      </c>
      <c r="B4" s="1861" t="s">
        <v>2096</v>
      </c>
      <c r="C4" s="1859"/>
      <c r="D4" s="1859"/>
      <c r="E4" s="1859"/>
      <c r="F4" s="1859"/>
    </row>
    <row r="5" spans="1:6" ht="14.25" thickBot="1">
      <c r="A5" s="1862" t="s">
        <v>2097</v>
      </c>
      <c r="B5" s="1863" t="s">
        <v>2098</v>
      </c>
      <c r="C5" s="1864">
        <v>8.8999999999999996E-2</v>
      </c>
      <c r="D5" s="1864">
        <v>7.3999999999999996E-2</v>
      </c>
      <c r="E5" s="1864">
        <v>7.4999999999999997E-2</v>
      </c>
      <c r="F5" s="1865">
        <v>0.1</v>
      </c>
    </row>
    <row r="6" spans="1:6" ht="14.25" thickBot="1">
      <c r="A6" s="1862" t="s">
        <v>1100</v>
      </c>
      <c r="B6" s="1866" t="s">
        <v>2099</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2100</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2101</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2102</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2103</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2104</v>
      </c>
      <c r="C72" s="1876"/>
      <c r="D72" s="1876"/>
      <c r="E72" s="1876"/>
      <c r="F72" s="1868">
        <v>0.05</v>
      </c>
    </row>
    <row r="73" spans="1:6" ht="14.25" thickBot="1">
      <c r="A73" s="1862" t="s">
        <v>928</v>
      </c>
      <c r="B73" s="1866" t="s">
        <v>2105</v>
      </c>
      <c r="C73" s="1876"/>
      <c r="D73" s="1876"/>
      <c r="E73" s="1876"/>
      <c r="F73" s="1868">
        <v>0.05</v>
      </c>
    </row>
    <row r="74" spans="1:6" ht="14.25" thickBot="1">
      <c r="A74" s="1862" t="s">
        <v>928</v>
      </c>
      <c r="B74" s="1866" t="s">
        <v>2106</v>
      </c>
      <c r="C74" s="1876"/>
      <c r="D74" s="1876"/>
      <c r="E74" s="1876"/>
      <c r="F74" s="1868">
        <v>0.05</v>
      </c>
    </row>
    <row r="75" spans="1:6" ht="14.25" thickBot="1">
      <c r="A75" s="1870" t="s">
        <v>928</v>
      </c>
      <c r="B75" s="1877" t="s">
        <v>2107</v>
      </c>
      <c r="C75" s="1873"/>
      <c r="D75" s="1873"/>
      <c r="E75" s="1873"/>
      <c r="F75" s="1878">
        <v>0.05</v>
      </c>
    </row>
    <row r="76" spans="1:6" ht="14.25" thickBot="1">
      <c r="A76" s="1862" t="s">
        <v>1411</v>
      </c>
      <c r="B76" s="1863" t="s">
        <v>2108</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2109</v>
      </c>
      <c r="C102" s="1876"/>
      <c r="D102" s="1876"/>
      <c r="E102" s="1876"/>
      <c r="F102" s="1868">
        <v>0.05</v>
      </c>
    </row>
    <row r="103" spans="1:6" ht="24.75" thickBot="1">
      <c r="A103" s="1862" t="s">
        <v>1411</v>
      </c>
      <c r="B103" s="1866" t="s">
        <v>2110</v>
      </c>
      <c r="C103" s="1876"/>
      <c r="D103" s="1876"/>
      <c r="E103" s="1876"/>
      <c r="F103" s="1868">
        <v>0.05</v>
      </c>
    </row>
    <row r="104" spans="1:6" ht="14.25" thickBot="1">
      <c r="A104" s="1862" t="s">
        <v>1411</v>
      </c>
      <c r="B104" s="1866" t="s">
        <v>2111</v>
      </c>
      <c r="C104" s="1876"/>
      <c r="D104" s="1876"/>
      <c r="E104" s="1876"/>
      <c r="F104" s="1868">
        <v>0.05</v>
      </c>
    </row>
    <row r="105" spans="1:6" ht="14.25" thickBot="1">
      <c r="A105" s="1862" t="s">
        <v>1411</v>
      </c>
      <c r="B105" s="1866" t="s">
        <v>2112</v>
      </c>
      <c r="C105" s="1876"/>
      <c r="D105" s="1876"/>
      <c r="E105" s="1876"/>
      <c r="F105" s="1868">
        <v>0.05</v>
      </c>
    </row>
    <row r="106" spans="1:6" ht="14.25" thickBot="1">
      <c r="A106" s="1862" t="s">
        <v>1411</v>
      </c>
      <c r="B106" s="1866" t="s">
        <v>2113</v>
      </c>
      <c r="C106" s="1876"/>
      <c r="D106" s="1876"/>
      <c r="E106" s="1876"/>
      <c r="F106" s="1868">
        <v>0.05</v>
      </c>
    </row>
    <row r="107" spans="1:6" ht="24.75" thickBot="1">
      <c r="A107" s="1862" t="s">
        <v>1411</v>
      </c>
      <c r="B107" s="1866" t="s">
        <v>2114</v>
      </c>
      <c r="C107" s="1876"/>
      <c r="D107" s="1876"/>
      <c r="E107" s="1876"/>
      <c r="F107" s="1868">
        <v>0.05</v>
      </c>
    </row>
    <row r="108" spans="1:6" ht="24.75" thickBot="1">
      <c r="A108" s="1862" t="s">
        <v>1411</v>
      </c>
      <c r="B108" s="1866" t="s">
        <v>2115</v>
      </c>
      <c r="C108" s="1876"/>
      <c r="D108" s="1876"/>
      <c r="E108" s="1876"/>
      <c r="F108" s="1868">
        <v>0.05</v>
      </c>
    </row>
    <row r="109" spans="1:6" ht="24.75" thickBot="1">
      <c r="A109" s="1870" t="s">
        <v>1411</v>
      </c>
      <c r="B109" s="1877" t="s">
        <v>2116</v>
      </c>
      <c r="C109" s="1873"/>
      <c r="D109" s="1873"/>
      <c r="E109" s="1873"/>
      <c r="F109" s="1878">
        <v>0.05</v>
      </c>
    </row>
    <row r="110" spans="1:6" ht="14.25" thickBot="1">
      <c r="A110" s="1862" t="s">
        <v>1413</v>
      </c>
      <c r="B110" s="1863" t="s">
        <v>2117</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2118</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2119</v>
      </c>
      <c r="C138" s="1867">
        <v>0.105</v>
      </c>
      <c r="D138" s="1867">
        <v>0.125</v>
      </c>
      <c r="E138" s="1867">
        <v>0.112</v>
      </c>
      <c r="F138" s="1875"/>
    </row>
    <row r="139" spans="1:6" ht="14.25" thickBot="1">
      <c r="A139" s="1862" t="s">
        <v>1413</v>
      </c>
      <c r="B139" s="1866" t="s">
        <v>2120</v>
      </c>
      <c r="C139" s="1867">
        <v>0.127</v>
      </c>
      <c r="D139" s="1867">
        <v>0.127</v>
      </c>
      <c r="E139" s="1867">
        <v>0.122</v>
      </c>
      <c r="F139" s="1868">
        <v>0.13</v>
      </c>
    </row>
    <row r="140" spans="1:6" ht="14.25" thickBot="1">
      <c r="A140" s="1862" t="s">
        <v>1413</v>
      </c>
      <c r="B140" s="1866" t="s">
        <v>2121</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2122</v>
      </c>
      <c r="C144" s="1880">
        <v>0.126</v>
      </c>
      <c r="D144" s="1880">
        <v>0.126</v>
      </c>
      <c r="E144" s="1880">
        <v>0.121</v>
      </c>
      <c r="F144" s="1875"/>
    </row>
    <row r="145" spans="1:6" ht="14.25" thickBot="1">
      <c r="A145" s="1870" t="s">
        <v>1413</v>
      </c>
      <c r="B145" s="1881" t="s">
        <v>2123</v>
      </c>
      <c r="C145" s="1882"/>
      <c r="D145" s="1882"/>
      <c r="E145" s="1882"/>
      <c r="F145" s="1883">
        <v>0.05</v>
      </c>
    </row>
    <row r="146" spans="1:6" ht="24.75" thickBot="1">
      <c r="A146" s="1884" t="s">
        <v>1413</v>
      </c>
      <c r="B146" s="1869" t="s">
        <v>2124</v>
      </c>
      <c r="C146" s="1876"/>
      <c r="D146" s="1876"/>
      <c r="E146" s="1876"/>
      <c r="F146" s="1885">
        <v>0.05</v>
      </c>
    </row>
    <row r="147" spans="1:6" ht="24.75" thickBot="1">
      <c r="A147" s="1862" t="s">
        <v>1413</v>
      </c>
      <c r="B147" s="1866" t="s">
        <v>2125</v>
      </c>
      <c r="C147" s="1876"/>
      <c r="D147" s="1876"/>
      <c r="E147" s="1876"/>
      <c r="F147" s="1868">
        <v>0.05</v>
      </c>
    </row>
    <row r="148" spans="1:6" ht="24.75" thickBot="1">
      <c r="A148" s="1862" t="s">
        <v>1413</v>
      </c>
      <c r="B148" s="1866" t="s">
        <v>2126</v>
      </c>
      <c r="C148" s="1876"/>
      <c r="D148" s="1876"/>
      <c r="E148" s="1876"/>
      <c r="F148" s="1868">
        <v>0.05</v>
      </c>
    </row>
    <row r="149" spans="1:6" ht="24.75" thickBot="1">
      <c r="A149" s="1862" t="s">
        <v>1413</v>
      </c>
      <c r="B149" s="1866" t="s">
        <v>2127</v>
      </c>
      <c r="C149" s="1876"/>
      <c r="D149" s="1876"/>
      <c r="E149" s="1876"/>
      <c r="F149" s="1868">
        <v>0.05</v>
      </c>
    </row>
    <row r="150" spans="1:6" ht="24.75" thickBot="1">
      <c r="A150" s="1862" t="s">
        <v>1413</v>
      </c>
      <c r="B150" s="1866" t="s">
        <v>2128</v>
      </c>
      <c r="C150" s="1876"/>
      <c r="D150" s="1876"/>
      <c r="E150" s="1876"/>
      <c r="F150" s="1868">
        <v>0.05</v>
      </c>
    </row>
    <row r="151" spans="1:6" ht="24.75" thickBot="1">
      <c r="A151" s="1862" t="s">
        <v>1413</v>
      </c>
      <c r="B151" s="1866" t="s">
        <v>2129</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2130</v>
      </c>
      <c r="C153" s="1876"/>
      <c r="D153" s="1876"/>
      <c r="E153" s="1876"/>
      <c r="F153" s="1868">
        <v>0.05</v>
      </c>
    </row>
    <row r="154" spans="1:6" ht="14.25" thickBot="1">
      <c r="A154" s="1862" t="s">
        <v>1413</v>
      </c>
      <c r="B154" s="1866" t="s">
        <v>2131</v>
      </c>
      <c r="C154" s="1876"/>
      <c r="D154" s="1876"/>
      <c r="E154" s="1876"/>
      <c r="F154" s="1868">
        <v>0.05</v>
      </c>
    </row>
    <row r="155" spans="1:6" ht="24.75" thickBot="1">
      <c r="A155" s="1862" t="s">
        <v>1413</v>
      </c>
      <c r="B155" s="1866" t="s">
        <v>2132</v>
      </c>
      <c r="C155" s="1876"/>
      <c r="D155" s="1876"/>
      <c r="E155" s="1876"/>
      <c r="F155" s="1868">
        <v>0.05</v>
      </c>
    </row>
    <row r="156" spans="1:6" ht="24.75" thickBot="1">
      <c r="A156" s="1862" t="s">
        <v>1413</v>
      </c>
      <c r="B156" s="1866" t="s">
        <v>2133</v>
      </c>
      <c r="C156" s="1876"/>
      <c r="D156" s="1876"/>
      <c r="E156" s="1876"/>
      <c r="F156" s="1868">
        <v>0.05</v>
      </c>
    </row>
    <row r="157" spans="1:6" ht="14.25" thickBot="1">
      <c r="A157" s="1870" t="s">
        <v>1413</v>
      </c>
      <c r="B157" s="1877" t="s">
        <v>2134</v>
      </c>
      <c r="C157" s="1873"/>
      <c r="D157" s="1873"/>
      <c r="E157" s="1873"/>
      <c r="F157" s="1878">
        <v>0.05</v>
      </c>
    </row>
    <row r="158" spans="1:6" ht="14.25" thickBot="1">
      <c r="A158" s="1862" t="s">
        <v>1415</v>
      </c>
      <c r="B158" s="1863" t="s">
        <v>2135</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2136</v>
      </c>
      <c r="C171" s="1867">
        <v>0.127</v>
      </c>
      <c r="D171" s="1867">
        <v>0.126</v>
      </c>
      <c r="E171" s="1867">
        <v>0.126</v>
      </c>
      <c r="F171" s="1868">
        <v>0.11799999999999999</v>
      </c>
    </row>
    <row r="172" spans="1:6" ht="14.25" thickBot="1">
      <c r="A172" s="1862" t="s">
        <v>1415</v>
      </c>
      <c r="B172" s="1866" t="s">
        <v>2137</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2138</v>
      </c>
      <c r="C174" s="1867">
        <v>0.13</v>
      </c>
      <c r="D174" s="1867">
        <v>0.13</v>
      </c>
      <c r="E174" s="1867">
        <v>0.13</v>
      </c>
      <c r="F174" s="1868">
        <v>0.13</v>
      </c>
    </row>
    <row r="175" spans="1:6" ht="14.25" thickBot="1">
      <c r="A175" s="1862" t="s">
        <v>1415</v>
      </c>
      <c r="B175" s="1866" t="s">
        <v>2139</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2140</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2141</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2142</v>
      </c>
      <c r="C185" s="1867">
        <v>0.127</v>
      </c>
      <c r="D185" s="1867">
        <v>0.127</v>
      </c>
      <c r="E185" s="1867">
        <v>0.128</v>
      </c>
      <c r="F185" s="1868">
        <v>0.13</v>
      </c>
    </row>
    <row r="186" spans="1:6" ht="24.75" thickBot="1">
      <c r="A186" s="1862" t="s">
        <v>1415</v>
      </c>
      <c r="B186" s="1866" t="s">
        <v>2143</v>
      </c>
      <c r="C186" s="1876"/>
      <c r="D186" s="1876"/>
      <c r="E186" s="1876"/>
      <c r="F186" s="1868">
        <v>0.05</v>
      </c>
    </row>
    <row r="187" spans="1:6" ht="14.25" thickBot="1">
      <c r="A187" s="1862" t="s">
        <v>1415</v>
      </c>
      <c r="B187" s="1866" t="s">
        <v>2144</v>
      </c>
      <c r="C187" s="1876"/>
      <c r="D187" s="1876"/>
      <c r="E187" s="1876"/>
      <c r="F187" s="1868">
        <v>0.05</v>
      </c>
    </row>
    <row r="188" spans="1:6" ht="14.25" thickBot="1">
      <c r="A188" s="1862" t="s">
        <v>1415</v>
      </c>
      <c r="B188" s="1866" t="s">
        <v>2145</v>
      </c>
      <c r="C188" s="1876"/>
      <c r="D188" s="1876"/>
      <c r="E188" s="1876"/>
      <c r="F188" s="1868">
        <v>0.05</v>
      </c>
    </row>
    <row r="189" spans="1:6" ht="24.75" thickBot="1">
      <c r="A189" s="1862" t="s">
        <v>1415</v>
      </c>
      <c r="B189" s="1866" t="s">
        <v>2146</v>
      </c>
      <c r="C189" s="1876"/>
      <c r="D189" s="1876"/>
      <c r="E189" s="1876"/>
      <c r="F189" s="1868">
        <v>0.05</v>
      </c>
    </row>
    <row r="190" spans="1:6" ht="24.75" thickBot="1">
      <c r="A190" s="1862" t="s">
        <v>1415</v>
      </c>
      <c r="B190" s="1866" t="s">
        <v>2147</v>
      </c>
      <c r="C190" s="1876"/>
      <c r="D190" s="1876"/>
      <c r="E190" s="1876"/>
      <c r="F190" s="1868">
        <v>0.05</v>
      </c>
    </row>
    <row r="191" spans="1:6" ht="24.75" thickBot="1">
      <c r="A191" s="1862" t="s">
        <v>1415</v>
      </c>
      <c r="B191" s="1866" t="s">
        <v>2148</v>
      </c>
      <c r="C191" s="1876"/>
      <c r="D191" s="1876"/>
      <c r="E191" s="1876"/>
      <c r="F191" s="1868">
        <v>0.05</v>
      </c>
    </row>
    <row r="192" spans="1:6" ht="24.75" thickBot="1">
      <c r="A192" s="1862" t="s">
        <v>1415</v>
      </c>
      <c r="B192" s="1866" t="s">
        <v>2149</v>
      </c>
      <c r="C192" s="1876"/>
      <c r="D192" s="1876"/>
      <c r="E192" s="1876"/>
      <c r="F192" s="1868">
        <v>0.05</v>
      </c>
    </row>
    <row r="193" spans="1:6" ht="24.75" thickBot="1">
      <c r="A193" s="1862" t="s">
        <v>1415</v>
      </c>
      <c r="B193" s="1866" t="s">
        <v>2150</v>
      </c>
      <c r="C193" s="1876"/>
      <c r="D193" s="1876"/>
      <c r="E193" s="1876"/>
      <c r="F193" s="1868">
        <v>0.05</v>
      </c>
    </row>
    <row r="194" spans="1:6" ht="24.75" thickBot="1">
      <c r="A194" s="1862" t="s">
        <v>1415</v>
      </c>
      <c r="B194" s="1866" t="s">
        <v>2151</v>
      </c>
      <c r="C194" s="1876"/>
      <c r="D194" s="1876"/>
      <c r="E194" s="1876"/>
      <c r="F194" s="1868">
        <v>0.05</v>
      </c>
    </row>
    <row r="195" spans="1:6" ht="14.25" thickBot="1">
      <c r="A195" s="1862" t="s">
        <v>1415</v>
      </c>
      <c r="B195" s="1866" t="s">
        <v>2152</v>
      </c>
      <c r="C195" s="1876"/>
      <c r="D195" s="1876"/>
      <c r="E195" s="1876"/>
      <c r="F195" s="1868">
        <v>0.05</v>
      </c>
    </row>
    <row r="196" spans="1:6" ht="24.75" thickBot="1">
      <c r="A196" s="1862" t="s">
        <v>1415</v>
      </c>
      <c r="B196" s="1866" t="s">
        <v>2153</v>
      </c>
      <c r="C196" s="1876"/>
      <c r="D196" s="1876"/>
      <c r="E196" s="1876"/>
      <c r="F196" s="1868">
        <v>0.05</v>
      </c>
    </row>
    <row r="197" spans="1:6" ht="24.75" thickBot="1">
      <c r="A197" s="1862" t="s">
        <v>1415</v>
      </c>
      <c r="B197" s="1866" t="s">
        <v>2154</v>
      </c>
      <c r="C197" s="1876"/>
      <c r="D197" s="1876"/>
      <c r="E197" s="1876"/>
      <c r="F197" s="1868">
        <v>0.05</v>
      </c>
    </row>
    <row r="198" spans="1:6" ht="24.75" thickBot="1">
      <c r="A198" s="1862" t="s">
        <v>1415</v>
      </c>
      <c r="B198" s="1866" t="s">
        <v>2155</v>
      </c>
      <c r="C198" s="1876"/>
      <c r="D198" s="1876"/>
      <c r="E198" s="1876"/>
      <c r="F198" s="1868">
        <v>0.05</v>
      </c>
    </row>
    <row r="199" spans="1:6" ht="24.75" thickBot="1">
      <c r="A199" s="1862" t="s">
        <v>1415</v>
      </c>
      <c r="B199" s="1866" t="s">
        <v>2156</v>
      </c>
      <c r="C199" s="1876"/>
      <c r="D199" s="1876"/>
      <c r="E199" s="1876"/>
      <c r="F199" s="1868">
        <v>0.05</v>
      </c>
    </row>
    <row r="200" spans="1:6" ht="24.75" thickBot="1">
      <c r="A200" s="1862" t="s">
        <v>1415</v>
      </c>
      <c r="B200" s="1866" t="s">
        <v>2157</v>
      </c>
      <c r="C200" s="1876"/>
      <c r="D200" s="1876"/>
      <c r="E200" s="1876"/>
      <c r="F200" s="1868">
        <v>0.05</v>
      </c>
    </row>
    <row r="201" spans="1:6" ht="24.75" thickBot="1">
      <c r="A201" s="1862" t="s">
        <v>1415</v>
      </c>
      <c r="B201" s="1866" t="s">
        <v>2158</v>
      </c>
      <c r="C201" s="1876"/>
      <c r="D201" s="1876"/>
      <c r="E201" s="1876"/>
      <c r="F201" s="1868">
        <v>0.05</v>
      </c>
    </row>
    <row r="202" spans="1:6" ht="24.75" thickBot="1">
      <c r="A202" s="1862" t="s">
        <v>1415</v>
      </c>
      <c r="B202" s="1866" t="s">
        <v>2159</v>
      </c>
      <c r="C202" s="1876"/>
      <c r="D202" s="1876"/>
      <c r="E202" s="1876"/>
      <c r="F202" s="1868">
        <v>0.05</v>
      </c>
    </row>
    <row r="203" spans="1:6" ht="24.75" thickBot="1">
      <c r="A203" s="1862" t="s">
        <v>1415</v>
      </c>
      <c r="B203" s="1866" t="s">
        <v>2160</v>
      </c>
      <c r="C203" s="1876"/>
      <c r="D203" s="1876"/>
      <c r="E203" s="1876"/>
      <c r="F203" s="1868">
        <v>0.05</v>
      </c>
    </row>
    <row r="204" spans="1:6" ht="14.25" thickBot="1">
      <c r="A204" s="1862" t="s">
        <v>1415</v>
      </c>
      <c r="B204" s="1866" t="s">
        <v>2161</v>
      </c>
      <c r="C204" s="1876"/>
      <c r="D204" s="1876"/>
      <c r="E204" s="1876"/>
      <c r="F204" s="1868">
        <v>0.05</v>
      </c>
    </row>
    <row r="205" spans="1:6" ht="14.25" thickBot="1">
      <c r="A205" s="1870" t="s">
        <v>1415</v>
      </c>
      <c r="B205" s="1877" t="s">
        <v>2162</v>
      </c>
      <c r="C205" s="1873"/>
      <c r="D205" s="1873"/>
      <c r="E205" s="1873"/>
      <c r="F205" s="1878">
        <v>0.05</v>
      </c>
    </row>
    <row r="206" spans="1:6" ht="14.25" thickBot="1">
      <c r="A206" s="1862" t="s">
        <v>1417</v>
      </c>
      <c r="B206" s="1863" t="s">
        <v>2163</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2164</v>
      </c>
      <c r="C210" s="1867">
        <v>0.15</v>
      </c>
      <c r="D210" s="1867">
        <v>0.15</v>
      </c>
      <c r="E210" s="1867">
        <v>0.15</v>
      </c>
      <c r="F210" s="1868">
        <v>0.13800000000000001</v>
      </c>
    </row>
    <row r="211" spans="1:6" ht="14.25" thickBot="1">
      <c r="A211" s="1862" t="s">
        <v>1417</v>
      </c>
      <c r="B211" s="1866" t="s">
        <v>2165</v>
      </c>
      <c r="C211" s="1867">
        <v>0.13700000000000001</v>
      </c>
      <c r="D211" s="1867">
        <v>0.13500000000000001</v>
      </c>
      <c r="E211" s="1867">
        <v>0.13600000000000001</v>
      </c>
      <c r="F211" s="1868">
        <v>0.1</v>
      </c>
    </row>
    <row r="212" spans="1:6" ht="14.25" thickBot="1">
      <c r="A212" s="1862" t="s">
        <v>1417</v>
      </c>
      <c r="B212" s="1866" t="s">
        <v>2166</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2167</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2168</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2169</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2170</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2171</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2172</v>
      </c>
      <c r="C231" s="1867">
        <v>0.128</v>
      </c>
      <c r="D231" s="1867">
        <v>0.125</v>
      </c>
      <c r="E231" s="1867">
        <v>0.13200000000000001</v>
      </c>
      <c r="F231" s="1875"/>
    </row>
    <row r="232" spans="1:6" ht="14.25" thickBot="1">
      <c r="A232" s="1862" t="s">
        <v>1417</v>
      </c>
      <c r="B232" s="1866" t="s">
        <v>2173</v>
      </c>
      <c r="C232" s="1867">
        <v>0.14499999999999999</v>
      </c>
      <c r="D232" s="1867">
        <v>0.14399999999999999</v>
      </c>
      <c r="E232" s="1867">
        <v>0.14599999999999999</v>
      </c>
      <c r="F232" s="1868">
        <v>0.13800000000000001</v>
      </c>
    </row>
    <row r="233" spans="1:6" ht="14.25" thickBot="1">
      <c r="A233" s="1862" t="s">
        <v>1417</v>
      </c>
      <c r="B233" s="1866" t="s">
        <v>2174</v>
      </c>
      <c r="C233" s="1867">
        <v>0.14499999999999999</v>
      </c>
      <c r="D233" s="1867">
        <v>0.14299999999999999</v>
      </c>
      <c r="E233" s="1867">
        <v>0.14199999999999999</v>
      </c>
      <c r="F233" s="1875"/>
    </row>
    <row r="234" spans="1:6" ht="14.25" thickBot="1">
      <c r="A234" s="1862" t="s">
        <v>1417</v>
      </c>
      <c r="B234" s="1866" t="s">
        <v>2175</v>
      </c>
      <c r="C234" s="1867">
        <v>0.14000000000000001</v>
      </c>
      <c r="D234" s="1867">
        <v>0.14000000000000001</v>
      </c>
      <c r="E234" s="1867">
        <v>0.14399999999999999</v>
      </c>
      <c r="F234" s="1875"/>
    </row>
    <row r="235" spans="1:6" ht="14.25" thickBot="1">
      <c r="A235" s="1862" t="s">
        <v>1417</v>
      </c>
      <c r="B235" s="1866" t="s">
        <v>2176</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2177</v>
      </c>
      <c r="C237" s="1876"/>
      <c r="D237" s="1876"/>
      <c r="E237" s="1876"/>
      <c r="F237" s="1868">
        <v>0.05</v>
      </c>
    </row>
    <row r="238" spans="1:6" ht="24.75" thickBot="1">
      <c r="A238" s="1862" t="s">
        <v>1417</v>
      </c>
      <c r="B238" s="1866" t="s">
        <v>2178</v>
      </c>
      <c r="C238" s="1876"/>
      <c r="D238" s="1876"/>
      <c r="E238" s="1876"/>
      <c r="F238" s="1868">
        <v>0.05</v>
      </c>
    </row>
    <row r="239" spans="1:6" ht="24.75" thickBot="1">
      <c r="A239" s="1862" t="s">
        <v>1417</v>
      </c>
      <c r="B239" s="1866" t="s">
        <v>2179</v>
      </c>
      <c r="C239" s="1876"/>
      <c r="D239" s="1876"/>
      <c r="E239" s="1876"/>
      <c r="F239" s="1868">
        <v>0.05</v>
      </c>
    </row>
    <row r="240" spans="1:6" ht="24.75" thickBot="1">
      <c r="A240" s="1862" t="s">
        <v>1417</v>
      </c>
      <c r="B240" s="1866" t="s">
        <v>2180</v>
      </c>
      <c r="C240" s="1876"/>
      <c r="D240" s="1876"/>
      <c r="E240" s="1876"/>
      <c r="F240" s="1868">
        <v>0.05</v>
      </c>
    </row>
    <row r="241" spans="1:6" ht="24.75" thickBot="1">
      <c r="A241" s="1862" t="s">
        <v>1417</v>
      </c>
      <c r="B241" s="1866" t="s">
        <v>2181</v>
      </c>
      <c r="C241" s="1876"/>
      <c r="D241" s="1876"/>
      <c r="E241" s="1876"/>
      <c r="F241" s="1868">
        <v>0.05</v>
      </c>
    </row>
    <row r="242" spans="1:6" ht="24.75" thickBot="1">
      <c r="A242" s="1862" t="s">
        <v>1417</v>
      </c>
      <c r="B242" s="1866" t="s">
        <v>2182</v>
      </c>
      <c r="C242" s="1876"/>
      <c r="D242" s="1876"/>
      <c r="E242" s="1876"/>
      <c r="F242" s="1868">
        <v>0.05</v>
      </c>
    </row>
    <row r="243" spans="1:6" ht="24.75" thickBot="1">
      <c r="A243" s="1862" t="s">
        <v>1417</v>
      </c>
      <c r="B243" s="1866" t="s">
        <v>2183</v>
      </c>
      <c r="C243" s="1876"/>
      <c r="D243" s="1876"/>
      <c r="E243" s="1876"/>
      <c r="F243" s="1868">
        <v>0.05</v>
      </c>
    </row>
    <row r="244" spans="1:6" ht="24.75" thickBot="1">
      <c r="A244" s="1870" t="s">
        <v>1417</v>
      </c>
      <c r="B244" s="1877" t="s">
        <v>2184</v>
      </c>
      <c r="C244" s="1873"/>
      <c r="D244" s="1873"/>
      <c r="E244" s="1873"/>
      <c r="F244" s="1878">
        <v>0.05</v>
      </c>
    </row>
    <row r="245" spans="1:6" ht="14.25" thickBot="1">
      <c r="A245" s="1862" t="s">
        <v>1419</v>
      </c>
      <c r="B245" s="1863" t="s">
        <v>2185</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2186</v>
      </c>
      <c r="C247" s="1867">
        <v>0.15</v>
      </c>
      <c r="D247" s="1867">
        <v>0.15</v>
      </c>
      <c r="E247" s="1867">
        <v>0.15</v>
      </c>
      <c r="F247" s="1868">
        <v>0.15</v>
      </c>
    </row>
    <row r="248" spans="1:6" ht="14.25" thickBot="1">
      <c r="A248" s="1862" t="s">
        <v>1419</v>
      </c>
      <c r="B248" s="1866" t="s">
        <v>2187</v>
      </c>
      <c r="C248" s="1867">
        <v>0.15</v>
      </c>
      <c r="D248" s="1867">
        <v>0.15</v>
      </c>
      <c r="E248" s="1867">
        <v>0.15</v>
      </c>
      <c r="F248" s="1868">
        <v>0.14000000000000001</v>
      </c>
    </row>
    <row r="249" spans="1:6" ht="14.25" thickBot="1">
      <c r="A249" s="1862" t="s">
        <v>1419</v>
      </c>
      <c r="B249" s="1866" t="s">
        <v>2188</v>
      </c>
      <c r="C249" s="1867">
        <v>0.15</v>
      </c>
      <c r="D249" s="1867">
        <v>0.14899999999999999</v>
      </c>
      <c r="E249" s="1867">
        <v>0.15</v>
      </c>
      <c r="F249" s="1868">
        <v>0.1</v>
      </c>
    </row>
    <row r="250" spans="1:6" ht="14.25" thickBot="1">
      <c r="A250" s="1862" t="s">
        <v>1419</v>
      </c>
      <c r="B250" s="1866" t="s">
        <v>2189</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2190</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2191</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2192</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2193</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2194</v>
      </c>
      <c r="C273" s="1867">
        <v>0.14199999999999999</v>
      </c>
      <c r="D273" s="1867">
        <v>0.14299999999999999</v>
      </c>
      <c r="E273" s="1867">
        <v>0.15</v>
      </c>
      <c r="F273" s="1868">
        <v>0.1</v>
      </c>
    </row>
    <row r="274" spans="1:6" ht="14.25" thickBot="1">
      <c r="A274" s="1862" t="s">
        <v>1419</v>
      </c>
      <c r="B274" s="1866" t="s">
        <v>2195</v>
      </c>
      <c r="C274" s="1867">
        <v>0.14799999999999999</v>
      </c>
      <c r="D274" s="1867">
        <v>0.14799999999999999</v>
      </c>
      <c r="E274" s="1867">
        <v>0.15</v>
      </c>
      <c r="F274" s="1868">
        <v>6.7000000000000004E-2</v>
      </c>
    </row>
    <row r="275" spans="1:6" ht="14.25" thickBot="1">
      <c r="A275" s="1862" t="s">
        <v>1419</v>
      </c>
      <c r="B275" s="1866" t="s">
        <v>2196</v>
      </c>
      <c r="C275" s="1867">
        <v>0.15</v>
      </c>
      <c r="D275" s="1867">
        <v>0.15</v>
      </c>
      <c r="E275" s="1867">
        <v>0.15</v>
      </c>
      <c r="F275" s="1868">
        <v>0.15</v>
      </c>
    </row>
    <row r="276" spans="1:6" ht="14.25" thickBot="1">
      <c r="A276" s="1862" t="s">
        <v>1419</v>
      </c>
      <c r="B276" s="1866" t="s">
        <v>2197</v>
      </c>
      <c r="C276" s="1867">
        <v>0.14499999999999999</v>
      </c>
      <c r="D276" s="1867">
        <v>0.14299999999999999</v>
      </c>
      <c r="E276" s="1867">
        <v>0.15</v>
      </c>
      <c r="F276" s="1868">
        <v>5.8999999999999997E-2</v>
      </c>
    </row>
    <row r="277" spans="1:6" ht="14.25" thickBot="1">
      <c r="A277" s="1862" t="s">
        <v>1419</v>
      </c>
      <c r="B277" s="1866" t="s">
        <v>2198</v>
      </c>
      <c r="C277" s="1867">
        <v>0.15</v>
      </c>
      <c r="D277" s="1867">
        <v>0.15</v>
      </c>
      <c r="E277" s="1867">
        <v>0.15</v>
      </c>
      <c r="F277" s="1868">
        <v>0.121</v>
      </c>
    </row>
    <row r="278" spans="1:6" ht="14.25" thickBot="1">
      <c r="A278" s="1862" t="s">
        <v>1419</v>
      </c>
      <c r="B278" s="1866" t="s">
        <v>2199</v>
      </c>
      <c r="C278" s="1867">
        <v>0.15</v>
      </c>
      <c r="D278" s="1867">
        <v>0.15</v>
      </c>
      <c r="E278" s="1867">
        <v>0.15</v>
      </c>
      <c r="F278" s="1868">
        <v>0.13800000000000001</v>
      </c>
    </row>
    <row r="279" spans="1:6" ht="24.75" thickBot="1">
      <c r="A279" s="1862" t="s">
        <v>1419</v>
      </c>
      <c r="B279" s="1866" t="s">
        <v>2200</v>
      </c>
      <c r="C279" s="1876"/>
      <c r="D279" s="1876"/>
      <c r="E279" s="1876"/>
      <c r="F279" s="1868">
        <v>0.05</v>
      </c>
    </row>
    <row r="280" spans="1:6" ht="24.75" thickBot="1">
      <c r="A280" s="1862" t="s">
        <v>1419</v>
      </c>
      <c r="B280" s="1866" t="s">
        <v>2201</v>
      </c>
      <c r="C280" s="1876"/>
      <c r="D280" s="1876"/>
      <c r="E280" s="1876"/>
      <c r="F280" s="1868">
        <v>0.05</v>
      </c>
    </row>
    <row r="281" spans="1:6" ht="24.75" thickBot="1">
      <c r="A281" s="1862" t="s">
        <v>1419</v>
      </c>
      <c r="B281" s="1866" t="s">
        <v>2202</v>
      </c>
      <c r="C281" s="1876"/>
      <c r="D281" s="1876"/>
      <c r="E281" s="1876"/>
      <c r="F281" s="1868">
        <v>0.05</v>
      </c>
    </row>
    <row r="282" spans="1:6" ht="24.75" thickBot="1">
      <c r="A282" s="1862" t="s">
        <v>1419</v>
      </c>
      <c r="B282" s="1866" t="s">
        <v>2203</v>
      </c>
      <c r="C282" s="1876"/>
      <c r="D282" s="1876"/>
      <c r="E282" s="1876"/>
      <c r="F282" s="1868">
        <v>0.05</v>
      </c>
    </row>
    <row r="283" spans="1:6" ht="24.75" thickBot="1">
      <c r="A283" s="1862" t="s">
        <v>1419</v>
      </c>
      <c r="B283" s="1866" t="s">
        <v>2204</v>
      </c>
      <c r="C283" s="1876"/>
      <c r="D283" s="1876"/>
      <c r="E283" s="1876"/>
      <c r="F283" s="1868">
        <v>0.05</v>
      </c>
    </row>
    <row r="284" spans="1:6" ht="24.75" thickBot="1">
      <c r="A284" s="1862" t="s">
        <v>1419</v>
      </c>
      <c r="B284" s="1866" t="s">
        <v>2205</v>
      </c>
      <c r="C284" s="1876"/>
      <c r="D284" s="1876"/>
      <c r="E284" s="1876"/>
      <c r="F284" s="1868">
        <v>0.05</v>
      </c>
    </row>
    <row r="285" spans="1:6" ht="24.75" thickBot="1">
      <c r="A285" s="1862" t="s">
        <v>1419</v>
      </c>
      <c r="B285" s="1866" t="s">
        <v>2206</v>
      </c>
      <c r="C285" s="1876"/>
      <c r="D285" s="1876"/>
      <c r="E285" s="1876"/>
      <c r="F285" s="1868">
        <v>0.05</v>
      </c>
    </row>
    <row r="286" spans="1:6" ht="24.75" thickBot="1">
      <c r="A286" s="1862" t="s">
        <v>1419</v>
      </c>
      <c r="B286" s="1866" t="s">
        <v>2207</v>
      </c>
      <c r="C286" s="1876"/>
      <c r="D286" s="1876"/>
      <c r="E286" s="1876"/>
      <c r="F286" s="1868">
        <v>0.05</v>
      </c>
    </row>
    <row r="287" spans="1:6" ht="24.75" thickBot="1">
      <c r="A287" s="1862" t="s">
        <v>1419</v>
      </c>
      <c r="B287" s="1866" t="s">
        <v>2208</v>
      </c>
      <c r="C287" s="1876"/>
      <c r="D287" s="1876"/>
      <c r="E287" s="1876"/>
      <c r="F287" s="1868">
        <v>0.05</v>
      </c>
    </row>
    <row r="288" spans="1:6" ht="24.75" thickBot="1">
      <c r="A288" s="1862" t="s">
        <v>1419</v>
      </c>
      <c r="B288" s="1866" t="s">
        <v>2209</v>
      </c>
      <c r="C288" s="1876"/>
      <c r="D288" s="1876"/>
      <c r="E288" s="1876"/>
      <c r="F288" s="1868">
        <v>0.05</v>
      </c>
    </row>
    <row r="289" spans="1:6" ht="24.75" thickBot="1">
      <c r="A289" s="1870" t="s">
        <v>1419</v>
      </c>
      <c r="B289" s="1877" t="s">
        <v>2210</v>
      </c>
      <c r="C289" s="1873"/>
      <c r="D289" s="1873"/>
      <c r="E289" s="1873"/>
      <c r="F289" s="1878">
        <v>0.05</v>
      </c>
    </row>
    <row r="290" spans="1:6" ht="14.25" thickBot="1">
      <c r="A290" s="1862" t="s">
        <v>1423</v>
      </c>
      <c r="B290" s="1863" t="s">
        <v>2211</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2212</v>
      </c>
      <c r="C292" s="1867">
        <v>0.15</v>
      </c>
      <c r="D292" s="1867">
        <v>0.15</v>
      </c>
      <c r="E292" s="1867">
        <v>0.15</v>
      </c>
      <c r="F292" s="1868">
        <v>0.14699999999999999</v>
      </c>
    </row>
    <row r="293" spans="1:6" ht="14.25" thickBot="1">
      <c r="A293" s="1862" t="s">
        <v>1423</v>
      </c>
      <c r="B293" s="1866" t="s">
        <v>2213</v>
      </c>
      <c r="C293" s="1876"/>
      <c r="D293" s="1876"/>
      <c r="E293" s="1876"/>
      <c r="F293" s="1868">
        <v>0.1</v>
      </c>
    </row>
    <row r="294" spans="1:6" ht="14.25" thickBot="1">
      <c r="A294" s="1862" t="s">
        <v>1423</v>
      </c>
      <c r="B294" s="1866" t="s">
        <v>2214</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2215</v>
      </c>
      <c r="C296" s="1867">
        <v>0.15</v>
      </c>
      <c r="D296" s="1867">
        <v>0.15</v>
      </c>
      <c r="E296" s="1867">
        <v>0.15</v>
      </c>
      <c r="F296" s="1868">
        <v>0.15</v>
      </c>
    </row>
    <row r="297" spans="1:6" ht="14.25" thickBot="1">
      <c r="A297" s="1862" t="s">
        <v>1423</v>
      </c>
      <c r="B297" s="1866" t="s">
        <v>2216</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2217</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2218</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2219</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2220</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2221</v>
      </c>
      <c r="C310" s="1867">
        <v>0.15</v>
      </c>
      <c r="D310" s="1867">
        <v>0.15</v>
      </c>
      <c r="E310" s="1867">
        <v>0.15</v>
      </c>
      <c r="F310" s="1868">
        <v>0.13700000000000001</v>
      </c>
    </row>
    <row r="311" spans="1:6" ht="14.25" thickBot="1">
      <c r="A311" s="1862" t="s">
        <v>1423</v>
      </c>
      <c r="B311" s="1866" t="s">
        <v>2222</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2223</v>
      </c>
      <c r="C313" s="1867">
        <v>0.15</v>
      </c>
      <c r="D313" s="1867">
        <v>0.15</v>
      </c>
      <c r="E313" s="1867">
        <v>0.15</v>
      </c>
      <c r="F313" s="1868">
        <v>0.15</v>
      </c>
    </row>
    <row r="314" spans="1:6" ht="24.75" thickBot="1">
      <c r="A314" s="1862" t="s">
        <v>1423</v>
      </c>
      <c r="B314" s="1866" t="s">
        <v>2224</v>
      </c>
      <c r="C314" s="1876"/>
      <c r="D314" s="1876"/>
      <c r="E314" s="1876"/>
      <c r="F314" s="1868">
        <v>0.05</v>
      </c>
    </row>
    <row r="315" spans="1:6" ht="24.75" thickBot="1">
      <c r="A315" s="1862" t="s">
        <v>1423</v>
      </c>
      <c r="B315" s="1866" t="s">
        <v>2225</v>
      </c>
      <c r="C315" s="1876"/>
      <c r="D315" s="1876"/>
      <c r="E315" s="1876"/>
      <c r="F315" s="1868">
        <v>0.05</v>
      </c>
    </row>
    <row r="316" spans="1:6" ht="24.75" thickBot="1">
      <c r="A316" s="1870" t="s">
        <v>1423</v>
      </c>
      <c r="B316" s="1877" t="s">
        <v>2226</v>
      </c>
      <c r="C316" s="1873"/>
      <c r="D316" s="1873"/>
      <c r="E316" s="1873"/>
      <c r="F316" s="1878">
        <v>0.05</v>
      </c>
    </row>
    <row r="317" spans="1:6" ht="14.25" thickBot="1">
      <c r="A317" s="1862" t="s">
        <v>2227</v>
      </c>
      <c r="B317" s="1863" t="s">
        <v>2228</v>
      </c>
      <c r="C317" s="1864">
        <v>0.15</v>
      </c>
      <c r="D317" s="1864">
        <v>0.15</v>
      </c>
      <c r="E317" s="1864">
        <v>0.15</v>
      </c>
      <c r="F317" s="1865">
        <v>0.15</v>
      </c>
    </row>
    <row r="318" spans="1:6" ht="14.25" thickBot="1">
      <c r="A318" s="1862" t="s">
        <v>2227</v>
      </c>
      <c r="B318" s="1866" t="s">
        <v>2229</v>
      </c>
      <c r="C318" s="1867">
        <v>0.107</v>
      </c>
      <c r="D318" s="1867">
        <v>0.11</v>
      </c>
      <c r="E318" s="1867">
        <v>0.112</v>
      </c>
      <c r="F318" s="1875"/>
    </row>
    <row r="319" spans="1:6" ht="14.25" thickBot="1">
      <c r="A319" s="1862" t="s">
        <v>2227</v>
      </c>
      <c r="B319" s="1866" t="s">
        <v>2230</v>
      </c>
      <c r="C319" s="1867">
        <v>0.15</v>
      </c>
      <c r="D319" s="1867">
        <v>0.15</v>
      </c>
      <c r="E319" s="1867">
        <v>0.15</v>
      </c>
      <c r="F319" s="1868">
        <v>0.15</v>
      </c>
    </row>
    <row r="320" spans="1:6" ht="14.25" thickBot="1">
      <c r="A320" s="1862" t="s">
        <v>2227</v>
      </c>
      <c r="B320" s="1866" t="s">
        <v>1111</v>
      </c>
      <c r="C320" s="1867">
        <v>0.15</v>
      </c>
      <c r="D320" s="1867">
        <v>0.15</v>
      </c>
      <c r="E320" s="1867">
        <v>0.15</v>
      </c>
      <c r="F320" s="1875"/>
    </row>
    <row r="321" spans="1:6" ht="14.25" thickBot="1">
      <c r="A321" s="1862" t="s">
        <v>2227</v>
      </c>
      <c r="B321" s="1866" t="s">
        <v>2231</v>
      </c>
      <c r="C321" s="1867">
        <v>0.15</v>
      </c>
      <c r="D321" s="1867">
        <v>0.15</v>
      </c>
      <c r="E321" s="1867">
        <v>0.15</v>
      </c>
      <c r="F321" s="1875"/>
    </row>
    <row r="322" spans="1:6" ht="14.25" thickBot="1">
      <c r="A322" s="1862" t="s">
        <v>2227</v>
      </c>
      <c r="B322" s="1866" t="s">
        <v>2232</v>
      </c>
      <c r="C322" s="1867">
        <v>0.15</v>
      </c>
      <c r="D322" s="1867">
        <v>0.15</v>
      </c>
      <c r="E322" s="1867">
        <v>0.15</v>
      </c>
      <c r="F322" s="1868">
        <v>0.15</v>
      </c>
    </row>
    <row r="323" spans="1:6" ht="14.25" thickBot="1">
      <c r="A323" s="1862" t="s">
        <v>2227</v>
      </c>
      <c r="B323" s="1866" t="s">
        <v>2233</v>
      </c>
      <c r="C323" s="1867">
        <v>0.15</v>
      </c>
      <c r="D323" s="1867">
        <v>0.15</v>
      </c>
      <c r="E323" s="1867">
        <v>0.15</v>
      </c>
      <c r="F323" s="1875"/>
    </row>
    <row r="324" spans="1:6" ht="14.25" thickBot="1">
      <c r="A324" s="1862" t="s">
        <v>2227</v>
      </c>
      <c r="B324" s="1866" t="s">
        <v>2234</v>
      </c>
      <c r="C324" s="1867">
        <v>0.15</v>
      </c>
      <c r="D324" s="1867">
        <v>0.15</v>
      </c>
      <c r="E324" s="1867">
        <v>0.15</v>
      </c>
      <c r="F324" s="1875"/>
    </row>
    <row r="325" spans="1:6" ht="14.25" thickBot="1">
      <c r="A325" s="1862" t="s">
        <v>2227</v>
      </c>
      <c r="B325" s="1866" t="s">
        <v>2235</v>
      </c>
      <c r="C325" s="1867">
        <v>0.15</v>
      </c>
      <c r="D325" s="1867">
        <v>0.15</v>
      </c>
      <c r="E325" s="1867">
        <v>0.15</v>
      </c>
      <c r="F325" s="1868">
        <v>0.14699999999999999</v>
      </c>
    </row>
    <row r="326" spans="1:6" ht="14.25" thickBot="1">
      <c r="A326" s="1862" t="s">
        <v>2227</v>
      </c>
      <c r="B326" s="1866" t="s">
        <v>1180</v>
      </c>
      <c r="C326" s="1867">
        <v>0.15</v>
      </c>
      <c r="D326" s="1867">
        <v>0.15</v>
      </c>
      <c r="E326" s="1867">
        <v>0.15</v>
      </c>
      <c r="F326" s="1875"/>
    </row>
    <row r="327" spans="1:6" ht="14.25" thickBot="1">
      <c r="A327" s="1862" t="s">
        <v>2227</v>
      </c>
      <c r="B327" s="1866" t="s">
        <v>2236</v>
      </c>
      <c r="C327" s="1867">
        <v>0.15</v>
      </c>
      <c r="D327" s="1867">
        <v>0.15</v>
      </c>
      <c r="E327" s="1867">
        <v>0.15</v>
      </c>
      <c r="F327" s="1868">
        <v>0.15</v>
      </c>
    </row>
    <row r="328" spans="1:6" ht="14.25" thickBot="1">
      <c r="A328" s="1862" t="s">
        <v>2227</v>
      </c>
      <c r="B328" s="1866" t="s">
        <v>1200</v>
      </c>
      <c r="C328" s="1867">
        <v>0.15</v>
      </c>
      <c r="D328" s="1867">
        <v>0.15</v>
      </c>
      <c r="E328" s="1867">
        <v>0.15</v>
      </c>
      <c r="F328" s="1868">
        <v>0.14099999999999999</v>
      </c>
    </row>
    <row r="329" spans="1:6" ht="14.25" thickBot="1">
      <c r="A329" s="1862" t="s">
        <v>2227</v>
      </c>
      <c r="B329" s="1866" t="s">
        <v>1210</v>
      </c>
      <c r="C329" s="1867">
        <v>0.15</v>
      </c>
      <c r="D329" s="1867">
        <v>0.15</v>
      </c>
      <c r="E329" s="1867">
        <v>0.15</v>
      </c>
      <c r="F329" s="1868">
        <v>0.15</v>
      </c>
    </row>
    <row r="330" spans="1:6" ht="14.25" thickBot="1">
      <c r="A330" s="1862" t="s">
        <v>2227</v>
      </c>
      <c r="B330" s="1866" t="s">
        <v>1220</v>
      </c>
      <c r="C330" s="1867">
        <v>0.15</v>
      </c>
      <c r="D330" s="1867">
        <v>0.15</v>
      </c>
      <c r="E330" s="1867">
        <v>0.15</v>
      </c>
      <c r="F330" s="1875"/>
    </row>
    <row r="331" spans="1:6" ht="14.25" thickBot="1">
      <c r="A331" s="1862" t="s">
        <v>2227</v>
      </c>
      <c r="B331" s="1866" t="s">
        <v>2237</v>
      </c>
      <c r="C331" s="1867">
        <v>0.15</v>
      </c>
      <c r="D331" s="1867">
        <v>0.15</v>
      </c>
      <c r="E331" s="1867">
        <v>0.15</v>
      </c>
      <c r="F331" s="1868">
        <v>0.15</v>
      </c>
    </row>
    <row r="332" spans="1:6" ht="14.25" thickBot="1">
      <c r="A332" s="1862" t="s">
        <v>2227</v>
      </c>
      <c r="B332" s="1866" t="s">
        <v>1240</v>
      </c>
      <c r="C332" s="1867">
        <v>0.15</v>
      </c>
      <c r="D332" s="1867">
        <v>0.15</v>
      </c>
      <c r="E332" s="1867">
        <v>0.15</v>
      </c>
      <c r="F332" s="1868">
        <v>0.15</v>
      </c>
    </row>
    <row r="333" spans="1:6" ht="14.25" thickBot="1">
      <c r="A333" s="1862" t="s">
        <v>2227</v>
      </c>
      <c r="B333" s="1866" t="s">
        <v>2238</v>
      </c>
      <c r="C333" s="1867">
        <v>0.15</v>
      </c>
      <c r="D333" s="1867">
        <v>0.15</v>
      </c>
      <c r="E333" s="1867">
        <v>0.15</v>
      </c>
      <c r="F333" s="1868">
        <v>0.14099999999999999</v>
      </c>
    </row>
    <row r="334" spans="1:6" ht="14.25" thickBot="1">
      <c r="A334" s="1862" t="s">
        <v>2227</v>
      </c>
      <c r="B334" s="1866" t="s">
        <v>1260</v>
      </c>
      <c r="C334" s="1867">
        <v>0.15</v>
      </c>
      <c r="D334" s="1867">
        <v>0.15</v>
      </c>
      <c r="E334" s="1867">
        <v>0.15</v>
      </c>
      <c r="F334" s="1868">
        <v>0.15</v>
      </c>
    </row>
    <row r="335" spans="1:6" ht="14.25" thickBot="1">
      <c r="A335" s="1862" t="s">
        <v>2227</v>
      </c>
      <c r="B335" s="1866" t="s">
        <v>1270</v>
      </c>
      <c r="C335" s="1867">
        <v>0.15</v>
      </c>
      <c r="D335" s="1867">
        <v>0.15</v>
      </c>
      <c r="E335" s="1867">
        <v>0.15</v>
      </c>
      <c r="F335" s="1875"/>
    </row>
    <row r="336" spans="1:6" ht="14.25" thickBot="1">
      <c r="A336" s="1862" t="s">
        <v>2227</v>
      </c>
      <c r="B336" s="1866" t="s">
        <v>2239</v>
      </c>
      <c r="C336" s="1867">
        <v>0.15</v>
      </c>
      <c r="D336" s="1867">
        <v>0.15</v>
      </c>
      <c r="E336" s="1867">
        <v>0.15</v>
      </c>
      <c r="F336" s="1868">
        <v>0.11799999999999999</v>
      </c>
    </row>
    <row r="337" spans="1:6" ht="14.25" thickBot="1">
      <c r="A337" s="1870" t="s">
        <v>2227</v>
      </c>
      <c r="B337" s="1877" t="s">
        <v>1288</v>
      </c>
      <c r="C337" s="1873"/>
      <c r="D337" s="1873"/>
      <c r="E337" s="1873"/>
      <c r="F337" s="1878">
        <v>0.14299999999999999</v>
      </c>
    </row>
    <row r="338" spans="1:6" ht="14.25" thickBot="1">
      <c r="A338" s="1862" t="s">
        <v>2240</v>
      </c>
      <c r="B338" s="1863" t="s">
        <v>2241</v>
      </c>
      <c r="C338" s="1864">
        <v>0.15</v>
      </c>
      <c r="D338" s="1864">
        <v>0.15</v>
      </c>
      <c r="E338" s="1864">
        <v>0.15</v>
      </c>
      <c r="F338" s="1886"/>
    </row>
    <row r="339" spans="1:6" ht="14.25" thickBot="1">
      <c r="A339" s="1862" t="s">
        <v>2240</v>
      </c>
      <c r="B339" s="1866" t="s">
        <v>2242</v>
      </c>
      <c r="C339" s="1867">
        <v>0.15</v>
      </c>
      <c r="D339" s="1867">
        <v>0.15</v>
      </c>
      <c r="E339" s="1867">
        <v>0.15</v>
      </c>
      <c r="F339" s="1875"/>
    </row>
    <row r="340" spans="1:6" ht="14.25" thickBot="1">
      <c r="A340" s="1862" t="s">
        <v>2240</v>
      </c>
      <c r="B340" s="1866" t="s">
        <v>2243</v>
      </c>
      <c r="C340" s="1867">
        <v>0.15</v>
      </c>
      <c r="D340" s="1867">
        <v>0.15</v>
      </c>
      <c r="E340" s="1867">
        <v>0.15</v>
      </c>
      <c r="F340" s="1875"/>
    </row>
    <row r="341" spans="1:6" ht="14.25" thickBot="1">
      <c r="A341" s="1862" t="s">
        <v>2244</v>
      </c>
      <c r="B341" s="1866" t="s">
        <v>2245</v>
      </c>
      <c r="C341" s="1867">
        <v>0.15</v>
      </c>
      <c r="D341" s="1867">
        <v>0.15</v>
      </c>
      <c r="E341" s="1867">
        <v>0.15</v>
      </c>
      <c r="F341" s="1868">
        <v>0.15</v>
      </c>
    </row>
    <row r="342" spans="1:6" ht="14.25" thickBot="1">
      <c r="A342" s="1862" t="s">
        <v>2240</v>
      </c>
      <c r="B342" s="1866" t="s">
        <v>2246</v>
      </c>
      <c r="C342" s="1867">
        <v>0.15</v>
      </c>
      <c r="D342" s="1867">
        <v>0.15</v>
      </c>
      <c r="E342" s="1867">
        <v>0.15</v>
      </c>
      <c r="F342" s="1868">
        <v>0.15</v>
      </c>
    </row>
    <row r="343" spans="1:6" ht="14.25" thickBot="1">
      <c r="A343" s="1862" t="s">
        <v>2240</v>
      </c>
      <c r="B343" s="1866" t="s">
        <v>2247</v>
      </c>
      <c r="C343" s="1867">
        <v>0.15</v>
      </c>
      <c r="D343" s="1867">
        <v>0.15</v>
      </c>
      <c r="E343" s="1867">
        <v>0.15</v>
      </c>
      <c r="F343" s="1868">
        <v>0.15</v>
      </c>
    </row>
    <row r="344" spans="1:6" ht="14.25" thickBot="1">
      <c r="A344" s="1870" t="s">
        <v>2240</v>
      </c>
      <c r="B344" s="1877" t="s">
        <v>2248</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93" t="s">
        <v>2591</v>
      </c>
      <c r="C1" s="3393"/>
      <c r="D1" s="3393"/>
      <c r="E1" s="3393"/>
      <c r="F1" s="3393"/>
      <c r="G1" s="3392" t="s">
        <v>2592</v>
      </c>
      <c r="H1" s="3392"/>
      <c r="I1" s="3392"/>
      <c r="J1" s="3392"/>
      <c r="K1" s="3392"/>
      <c r="L1" s="3392"/>
      <c r="N1" s="3392" t="s">
        <v>2593</v>
      </c>
      <c r="O1" s="3392"/>
      <c r="P1" s="3392"/>
      <c r="Q1" s="3392"/>
      <c r="R1" s="2691"/>
      <c r="S1" s="3392" t="s">
        <v>2594</v>
      </c>
      <c r="T1" s="3392"/>
      <c r="U1" s="3392"/>
      <c r="V1" s="3392"/>
      <c r="X1" s="3391" t="s">
        <v>2656</v>
      </c>
      <c r="Y1" s="3392"/>
      <c r="Z1" s="3392"/>
      <c r="AA1" s="3392"/>
      <c r="AB1" s="3392"/>
      <c r="AD1" s="3391" t="s">
        <v>2661</v>
      </c>
      <c r="AE1" s="3392"/>
      <c r="AF1" s="3392"/>
      <c r="AG1" s="3392"/>
      <c r="AH1" s="3392"/>
    </row>
    <row r="2" spans="1:34" s="2794" customFormat="1" ht="14.25" thickBot="1">
      <c r="B2" s="2804" t="s">
        <v>2595</v>
      </c>
      <c r="C2" s="2804" t="s">
        <v>2659</v>
      </c>
      <c r="D2" s="2795" t="s">
        <v>1648</v>
      </c>
      <c r="E2" s="2795" t="s">
        <v>1959</v>
      </c>
      <c r="F2" s="2804" t="s">
        <v>2660</v>
      </c>
      <c r="G2" s="2798"/>
      <c r="H2" s="2797"/>
      <c r="I2" s="2797"/>
      <c r="J2" s="2797"/>
      <c r="K2" s="2797"/>
      <c r="L2" s="2797"/>
      <c r="N2" s="2798"/>
      <c r="O2" s="2797"/>
      <c r="P2" s="2797"/>
      <c r="Q2" s="2797"/>
      <c r="R2" s="2796"/>
      <c r="S2" s="2798"/>
      <c r="T2" s="2797"/>
      <c r="U2" s="2797"/>
      <c r="V2" s="2797"/>
      <c r="X2" s="2804" t="s">
        <v>2595</v>
      </c>
      <c r="Y2" s="2804" t="s">
        <v>2659</v>
      </c>
      <c r="Z2" s="2795" t="s">
        <v>1648</v>
      </c>
      <c r="AA2" s="2795" t="s">
        <v>1959</v>
      </c>
      <c r="AB2" s="2804" t="s">
        <v>2660</v>
      </c>
      <c r="AD2" s="2804" t="s">
        <v>2595</v>
      </c>
      <c r="AE2" s="2804" t="s">
        <v>2659</v>
      </c>
      <c r="AF2" s="2795" t="s">
        <v>1648</v>
      </c>
      <c r="AG2" s="2795" t="s">
        <v>1959</v>
      </c>
      <c r="AH2" s="2804" t="s">
        <v>2660</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2596</v>
      </c>
      <c r="B4" s="2693"/>
      <c r="C4" s="2693"/>
      <c r="D4" s="2693"/>
      <c r="E4" s="2693"/>
      <c r="F4" s="2693"/>
      <c r="G4" s="3400">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2597</v>
      </c>
      <c r="B5" s="2693"/>
      <c r="C5" s="2693"/>
      <c r="D5" s="2693"/>
      <c r="E5" s="2693"/>
      <c r="F5" s="2693"/>
      <c r="G5" s="3395"/>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2598</v>
      </c>
      <c r="B6" s="2835">
        <f>B7*(1+N6)</f>
        <v>415.21602360000003</v>
      </c>
      <c r="C6" s="2835">
        <f>C7*(1+O6)</f>
        <v>312.63083488000001</v>
      </c>
      <c r="D6" s="2835">
        <f>C6</f>
        <v>312.63083488000001</v>
      </c>
      <c r="E6" s="2835">
        <f>E7*(1+P6)</f>
        <v>589.96402416000001</v>
      </c>
      <c r="F6" s="2835">
        <f>F7*(1+Q6)</f>
        <v>273.82351752000005</v>
      </c>
      <c r="G6" s="3395"/>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2657</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2599</v>
      </c>
      <c r="B7" s="2707">
        <f>B8*(1+N7)</f>
        <v>405.524</v>
      </c>
      <c r="C7" s="2707">
        <f>C8*(1+O7)</f>
        <v>307.79840000000002</v>
      </c>
      <c r="D7" s="2707">
        <f>C7</f>
        <v>307.79840000000002</v>
      </c>
      <c r="E7" s="2707">
        <f>E8*(1+P7)</f>
        <v>574.67759999999998</v>
      </c>
      <c r="F7" s="2707">
        <f>F8*(1+Q7)</f>
        <v>270.20280000000002</v>
      </c>
      <c r="G7" s="3396"/>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00">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5"/>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5"/>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6"/>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4">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5"/>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5"/>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6"/>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4">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5"/>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5"/>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6"/>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2658</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2600</v>
      </c>
      <c r="B20" s="2699">
        <v>299</v>
      </c>
      <c r="C20" s="2699">
        <v>252</v>
      </c>
      <c r="D20" s="2699">
        <f t="shared" si="11"/>
        <v>252</v>
      </c>
      <c r="E20" s="2699">
        <v>409</v>
      </c>
      <c r="F20" s="2700">
        <v>227</v>
      </c>
      <c r="G20" s="3397">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2601</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398"/>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2602</v>
      </c>
      <c r="B22" s="2707">
        <f t="shared" si="20"/>
        <v>288.2649053828776</v>
      </c>
      <c r="C22" s="2707">
        <f t="shared" si="20"/>
        <v>243.64564425013293</v>
      </c>
      <c r="D22" s="2707">
        <f t="shared" si="11"/>
        <v>243.64564425013293</v>
      </c>
      <c r="E22" s="2707">
        <f t="shared" si="21"/>
        <v>393.31080825986544</v>
      </c>
      <c r="F22" s="2707">
        <f t="shared" si="21"/>
        <v>223.07903790551154</v>
      </c>
      <c r="G22" s="3398"/>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2603</v>
      </c>
      <c r="B23" s="2707">
        <f t="shared" si="20"/>
        <v>282.50186729015837</v>
      </c>
      <c r="C23" s="2707">
        <f t="shared" si="20"/>
        <v>238.09796174155468</v>
      </c>
      <c r="D23" s="2707">
        <f t="shared" si="11"/>
        <v>238.09796174155468</v>
      </c>
      <c r="E23" s="2707">
        <f t="shared" si="21"/>
        <v>385.33438646014054</v>
      </c>
      <c r="F23" s="2707">
        <f t="shared" si="21"/>
        <v>221.55034055567739</v>
      </c>
      <c r="G23" s="3399"/>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2604</v>
      </c>
      <c r="B24" s="2737">
        <v>278</v>
      </c>
      <c r="C24" s="2737">
        <v>234</v>
      </c>
      <c r="D24" s="2737">
        <f t="shared" si="11"/>
        <v>234</v>
      </c>
      <c r="E24" s="2737">
        <v>379</v>
      </c>
      <c r="F24" s="2738">
        <v>220</v>
      </c>
      <c r="G24" s="3394">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2605</v>
      </c>
      <c r="B25" s="2707">
        <f>B24/(1+N24)</f>
        <v>275.49301357645425</v>
      </c>
      <c r="C25" s="2707">
        <f>C24/(1+O24)</f>
        <v>232.41954707985698</v>
      </c>
      <c r="D25" s="2707">
        <f t="shared" si="11"/>
        <v>232.41954707985698</v>
      </c>
      <c r="E25" s="2707">
        <f t="shared" ref="E25:F27" si="22">E24/(1+P24)</f>
        <v>375.32184591008121</v>
      </c>
      <c r="F25" s="2707">
        <f t="shared" si="22"/>
        <v>218.03766105054513</v>
      </c>
      <c r="G25" s="3395"/>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2606</v>
      </c>
      <c r="B26" s="2707">
        <f>B25/(1+N25)</f>
        <v>275.24529281292263</v>
      </c>
      <c r="C26" s="2707">
        <f>C25/(1+O25)</f>
        <v>231.74747938962707</v>
      </c>
      <c r="D26" s="2707">
        <f t="shared" si="11"/>
        <v>231.74747938962707</v>
      </c>
      <c r="E26" s="2707">
        <f t="shared" si="22"/>
        <v>375.35938184826603</v>
      </c>
      <c r="F26" s="2707">
        <f t="shared" si="22"/>
        <v>216.78033510692495</v>
      </c>
      <c r="G26" s="3395"/>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2607</v>
      </c>
      <c r="B27" s="2707">
        <f>B26/(1+N26)</f>
        <v>275.19025476197027</v>
      </c>
      <c r="C27" s="2739">
        <v>232</v>
      </c>
      <c r="D27" s="2739">
        <f t="shared" si="11"/>
        <v>232</v>
      </c>
      <c r="E27" s="2707">
        <f t="shared" si="22"/>
        <v>375.65990977608692</v>
      </c>
      <c r="F27" s="2707">
        <f t="shared" si="22"/>
        <v>214.12518283971252</v>
      </c>
      <c r="G27" s="3396"/>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2608</v>
      </c>
      <c r="B28" s="2699">
        <v>275</v>
      </c>
      <c r="C28" s="2699">
        <v>232</v>
      </c>
      <c r="D28" s="2699">
        <f t="shared" si="11"/>
        <v>232</v>
      </c>
      <c r="E28" s="2699">
        <v>376</v>
      </c>
      <c r="F28" s="2700">
        <v>213</v>
      </c>
      <c r="G28" s="3394">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2609</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5">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2610</v>
      </c>
      <c r="B30" s="2707">
        <f t="shared" si="23"/>
        <v>275.19335084830601</v>
      </c>
      <c r="C30" s="2707">
        <f t="shared" si="23"/>
        <v>230.18088050139744</v>
      </c>
      <c r="D30" s="2707">
        <f t="shared" si="11"/>
        <v>230.18088050139744</v>
      </c>
      <c r="E30" s="2707">
        <f t="shared" si="24"/>
        <v>377.58482925212331</v>
      </c>
      <c r="F30" s="2707">
        <f t="shared" si="24"/>
        <v>210.90687997847917</v>
      </c>
      <c r="G30" s="3395">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2611</v>
      </c>
      <c r="B31" s="2707">
        <f t="shared" si="23"/>
        <v>276.29854502841971</v>
      </c>
      <c r="C31" s="2707">
        <f t="shared" si="23"/>
        <v>229.79023709833027</v>
      </c>
      <c r="D31" s="2707">
        <f t="shared" si="11"/>
        <v>229.79023709833027</v>
      </c>
      <c r="E31" s="2707">
        <f t="shared" si="24"/>
        <v>379.78759731655936</v>
      </c>
      <c r="F31" s="2707">
        <f t="shared" si="24"/>
        <v>211.32953905659235</v>
      </c>
      <c r="G31" s="3396">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2612</v>
      </c>
      <c r="B32" s="2699">
        <v>269</v>
      </c>
      <c r="C32" s="2699">
        <v>221</v>
      </c>
      <c r="D32" s="2699">
        <f t="shared" si="11"/>
        <v>221</v>
      </c>
      <c r="E32" s="2699">
        <v>373</v>
      </c>
      <c r="F32" s="2700">
        <v>196</v>
      </c>
      <c r="G32" s="3394">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2613</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5">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2614</v>
      </c>
      <c r="B34" s="2707">
        <f t="shared" si="25"/>
        <v>242.95398227588385</v>
      </c>
      <c r="C34" s="2707">
        <f t="shared" si="25"/>
        <v>199.59137053614126</v>
      </c>
      <c r="D34" s="2707">
        <f t="shared" si="11"/>
        <v>199.59137053614126</v>
      </c>
      <c r="E34" s="2707">
        <f t="shared" si="26"/>
        <v>335.92189522342125</v>
      </c>
      <c r="F34" s="2707">
        <f t="shared" si="26"/>
        <v>183.10139991109489</v>
      </c>
      <c r="G34" s="3395">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2615</v>
      </c>
      <c r="B35" s="2707">
        <f t="shared" si="25"/>
        <v>232.06990378821649</v>
      </c>
      <c r="C35" s="2707">
        <f t="shared" si="25"/>
        <v>192.74878854286936</v>
      </c>
      <c r="D35" s="2707">
        <f t="shared" si="11"/>
        <v>192.74878854286936</v>
      </c>
      <c r="E35" s="2707">
        <f t="shared" si="26"/>
        <v>319.71247284992984</v>
      </c>
      <c r="F35" s="2707">
        <f t="shared" si="26"/>
        <v>175.67053622862409</v>
      </c>
      <c r="G35" s="3396">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2616</v>
      </c>
      <c r="B36" s="2699">
        <v>220</v>
      </c>
      <c r="C36" s="2699">
        <v>187</v>
      </c>
      <c r="D36" s="2699">
        <f t="shared" si="11"/>
        <v>187</v>
      </c>
      <c r="E36" s="2699">
        <v>301</v>
      </c>
      <c r="F36" s="2700">
        <v>168</v>
      </c>
      <c r="G36" s="3394">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2617</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5">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2618</v>
      </c>
      <c r="B38" s="2707">
        <f t="shared" si="27"/>
        <v>210.630522469011</v>
      </c>
      <c r="C38" s="2707">
        <f t="shared" si="27"/>
        <v>181.69567812247232</v>
      </c>
      <c r="D38" s="2707">
        <f t="shared" si="11"/>
        <v>181.69567812247232</v>
      </c>
      <c r="E38" s="2707">
        <f t="shared" si="28"/>
        <v>286.13517466736738</v>
      </c>
      <c r="F38" s="2707">
        <f t="shared" si="28"/>
        <v>165.47535084591149</v>
      </c>
      <c r="G38" s="3395">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2619</v>
      </c>
      <c r="B39" s="2707">
        <f t="shared" si="27"/>
        <v>208.83454537875372</v>
      </c>
      <c r="C39" s="2707">
        <f t="shared" si="27"/>
        <v>183.77230517090351</v>
      </c>
      <c r="D39" s="2707">
        <f t="shared" si="11"/>
        <v>183.77230517090351</v>
      </c>
      <c r="E39" s="2707">
        <f t="shared" si="28"/>
        <v>281.10342338870947</v>
      </c>
      <c r="F39" s="2707">
        <f t="shared" si="28"/>
        <v>168.97309388942256</v>
      </c>
      <c r="G39" s="3396">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2620</v>
      </c>
      <c r="B40" s="2737">
        <v>214</v>
      </c>
      <c r="C40" s="2737">
        <v>188</v>
      </c>
      <c r="D40" s="2737">
        <f t="shared" si="11"/>
        <v>188</v>
      </c>
      <c r="E40" s="2737">
        <v>289</v>
      </c>
      <c r="F40" s="2738">
        <v>166</v>
      </c>
      <c r="G40" s="3394">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2621</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5">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2622</v>
      </c>
      <c r="B42" s="2707">
        <f t="shared" si="29"/>
        <v>206.31694671589116</v>
      </c>
      <c r="C42" s="2707">
        <f t="shared" si="29"/>
        <v>183.61041121036101</v>
      </c>
      <c r="D42" s="2707">
        <f t="shared" si="11"/>
        <v>183.61041121036101</v>
      </c>
      <c r="E42" s="2707">
        <f t="shared" si="30"/>
        <v>276.66850301795557</v>
      </c>
      <c r="F42" s="2707">
        <f t="shared" si="30"/>
        <v>165.1360938278614</v>
      </c>
      <c r="G42" s="3395">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2623</v>
      </c>
      <c r="B43" s="2740">
        <f t="shared" si="29"/>
        <v>196.62341248059772</v>
      </c>
      <c r="C43" s="2740">
        <f t="shared" si="29"/>
        <v>170.99125648199012</v>
      </c>
      <c r="D43" s="2740">
        <f t="shared" si="11"/>
        <v>170.99125648199012</v>
      </c>
      <c r="E43" s="2740">
        <f t="shared" si="30"/>
        <v>266.07857570490052</v>
      </c>
      <c r="F43" s="2740">
        <f t="shared" si="30"/>
        <v>154.53499328828505</v>
      </c>
      <c r="G43" s="3396">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2624</v>
      </c>
      <c r="B44" s="2699">
        <v>188</v>
      </c>
      <c r="C44" s="2699">
        <v>165</v>
      </c>
      <c r="D44" s="2699">
        <f t="shared" si="11"/>
        <v>165</v>
      </c>
      <c r="E44" s="2699">
        <v>254</v>
      </c>
      <c r="F44" s="2700">
        <v>148</v>
      </c>
      <c r="G44" s="3394">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2625</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5">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2626</v>
      </c>
      <c r="B46" s="2707">
        <f t="shared" si="33"/>
        <v>168.82017748715555</v>
      </c>
      <c r="C46" s="2707">
        <f t="shared" si="33"/>
        <v>148.06267029972753</v>
      </c>
      <c r="D46" s="2707">
        <f t="shared" si="11"/>
        <v>148.06267029972753</v>
      </c>
      <c r="E46" s="2707">
        <f t="shared" si="34"/>
        <v>216.46288379323747</v>
      </c>
      <c r="F46" s="2707">
        <f t="shared" si="34"/>
        <v>134.23529411764704</v>
      </c>
      <c r="G46" s="3395">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2627</v>
      </c>
      <c r="B47" s="2707">
        <f t="shared" si="33"/>
        <v>163.84913591779542</v>
      </c>
      <c r="C47" s="2707">
        <f t="shared" si="33"/>
        <v>145.0283378746594</v>
      </c>
      <c r="D47" s="2707">
        <f t="shared" si="11"/>
        <v>145.0283378746594</v>
      </c>
      <c r="E47" s="2707">
        <f t="shared" si="34"/>
        <v>204.95180722891567</v>
      </c>
      <c r="F47" s="2707">
        <f t="shared" si="34"/>
        <v>125.95920303605313</v>
      </c>
      <c r="G47" s="3396">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2628</v>
      </c>
      <c r="B48" s="2721">
        <v>159</v>
      </c>
      <c r="C48" s="2721">
        <v>141</v>
      </c>
      <c r="D48" s="2721">
        <f t="shared" si="11"/>
        <v>141</v>
      </c>
      <c r="E48" s="2721">
        <v>195</v>
      </c>
      <c r="F48" s="2722">
        <v>122</v>
      </c>
      <c r="G48" s="3394">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2629</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5">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2630</v>
      </c>
      <c r="B50" s="2707">
        <f t="shared" si="37"/>
        <v>146.57412060301507</v>
      </c>
      <c r="C50" s="2707">
        <f t="shared" si="37"/>
        <v>136.46831955922866</v>
      </c>
      <c r="D50" s="2707">
        <f t="shared" si="11"/>
        <v>136.46831955922866</v>
      </c>
      <c r="E50" s="2707">
        <f t="shared" si="38"/>
        <v>166.73864894795128</v>
      </c>
      <c r="F50" s="2707">
        <f t="shared" si="38"/>
        <v>115.05882352941177</v>
      </c>
      <c r="G50" s="3395">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2631</v>
      </c>
      <c r="B51" s="2707">
        <f t="shared" si="37"/>
        <v>144.04145728643215</v>
      </c>
      <c r="C51" s="2707">
        <f t="shared" si="37"/>
        <v>136.12396694214877</v>
      </c>
      <c r="D51" s="2707">
        <f t="shared" si="11"/>
        <v>136.12396694214877</v>
      </c>
      <c r="E51" s="2707">
        <f t="shared" si="38"/>
        <v>158.32225913621264</v>
      </c>
      <c r="F51" s="2707">
        <f t="shared" si="38"/>
        <v>114.04278074866311</v>
      </c>
      <c r="G51" s="3396">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2632</v>
      </c>
      <c r="B52" s="2721">
        <v>138</v>
      </c>
      <c r="C52" s="2721">
        <v>131</v>
      </c>
      <c r="D52" s="2721">
        <f t="shared" si="11"/>
        <v>131</v>
      </c>
      <c r="E52" s="2721">
        <v>155</v>
      </c>
      <c r="F52" s="2722">
        <v>114</v>
      </c>
      <c r="G52" s="3394">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2633</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5">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2634</v>
      </c>
      <c r="B54" s="2707">
        <f t="shared" si="41"/>
        <v>124.29032258064517</v>
      </c>
      <c r="C54" s="2707">
        <f t="shared" si="41"/>
        <v>123.8968609865471</v>
      </c>
      <c r="D54" s="2707">
        <f t="shared" si="11"/>
        <v>123.8968609865471</v>
      </c>
      <c r="E54" s="2707">
        <f t="shared" si="42"/>
        <v>138.00507614213197</v>
      </c>
      <c r="F54" s="2707">
        <f t="shared" si="42"/>
        <v>107.96106557377048</v>
      </c>
      <c r="G54" s="3395">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2635</v>
      </c>
      <c r="B55" s="2707">
        <f t="shared" si="41"/>
        <v>122.57204301075269</v>
      </c>
      <c r="C55" s="2707">
        <f t="shared" si="41"/>
        <v>123.4932735426009</v>
      </c>
      <c r="D55" s="2707">
        <f t="shared" si="11"/>
        <v>123.4932735426009</v>
      </c>
      <c r="E55" s="2707">
        <f t="shared" si="42"/>
        <v>129.82233502538071</v>
      </c>
      <c r="F55" s="2707">
        <f t="shared" si="42"/>
        <v>107.39446721311475</v>
      </c>
      <c r="G55" s="3396">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2636</v>
      </c>
      <c r="B56" s="2737">
        <v>121</v>
      </c>
      <c r="C56" s="2737">
        <v>122</v>
      </c>
      <c r="D56" s="2737">
        <f t="shared" si="11"/>
        <v>122</v>
      </c>
      <c r="E56" s="2737">
        <v>124</v>
      </c>
      <c r="F56" s="2738">
        <v>107</v>
      </c>
      <c r="G56" s="3394">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2637</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5">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2638</v>
      </c>
      <c r="B58" s="2707">
        <f t="shared" si="45"/>
        <v>116.99099099099099</v>
      </c>
      <c r="C58" s="2707">
        <f t="shared" si="45"/>
        <v>118.84848484848486</v>
      </c>
      <c r="D58" s="2707">
        <f t="shared" si="11"/>
        <v>118.84848484848486</v>
      </c>
      <c r="E58" s="2707">
        <f t="shared" si="46"/>
        <v>117.60960960960961</v>
      </c>
      <c r="F58" s="2707">
        <f t="shared" si="46"/>
        <v>104</v>
      </c>
      <c r="G58" s="3395">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2639</v>
      </c>
      <c r="B59" s="2740">
        <f t="shared" si="45"/>
        <v>112.48648648648648</v>
      </c>
      <c r="C59" s="2740">
        <f t="shared" si="45"/>
        <v>115.21212121212122</v>
      </c>
      <c r="D59" s="2740">
        <f t="shared" si="11"/>
        <v>115.21212121212122</v>
      </c>
      <c r="E59" s="2740">
        <f t="shared" si="46"/>
        <v>110.4024024024024</v>
      </c>
      <c r="F59" s="2740">
        <f t="shared" si="46"/>
        <v>104</v>
      </c>
      <c r="G59" s="3396">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2640</v>
      </c>
      <c r="B60" s="2758">
        <v>111</v>
      </c>
      <c r="C60" s="2758">
        <v>114</v>
      </c>
      <c r="D60" s="2758">
        <f t="shared" si="11"/>
        <v>114</v>
      </c>
      <c r="E60" s="2758">
        <v>108</v>
      </c>
      <c r="F60" s="2759">
        <v>104</v>
      </c>
      <c r="G60" s="3394">
        <v>2003</v>
      </c>
      <c r="H60" s="2748">
        <v>4</v>
      </c>
      <c r="I60" s="2760"/>
      <c r="J60" s="2760"/>
      <c r="K60" s="2760"/>
      <c r="L60" s="2760"/>
      <c r="N60" s="2761"/>
      <c r="O60" s="2760"/>
      <c r="P60" s="2760"/>
      <c r="Q60" s="2760"/>
      <c r="S60" s="2761"/>
      <c r="T60" s="2760"/>
      <c r="U60" s="2760"/>
      <c r="V60" s="2760"/>
      <c r="X60" s="2752"/>
      <c r="Y60" s="2752"/>
      <c r="Z60" s="2752"/>
    </row>
    <row r="61" spans="1:26">
      <c r="A61" s="2692" t="s">
        <v>2641</v>
      </c>
      <c r="B61" s="2762">
        <f t="shared" ref="B61:C63" si="47">B62+(B$60-B$64)/4</f>
        <v>109.75</v>
      </c>
      <c r="C61" s="2762">
        <f t="shared" si="47"/>
        <v>112.25</v>
      </c>
      <c r="D61" s="2762">
        <f t="shared" si="11"/>
        <v>112.25</v>
      </c>
      <c r="E61" s="2762">
        <f t="shared" ref="E61:F63" si="48">E62+(E$60-E$64)/4</f>
        <v>107.25</v>
      </c>
      <c r="F61" s="2762">
        <f t="shared" si="48"/>
        <v>103.5</v>
      </c>
      <c r="G61" s="3395">
        <v>2003</v>
      </c>
      <c r="H61" s="2718">
        <v>3</v>
      </c>
      <c r="I61" s="2760"/>
      <c r="J61" s="2760"/>
      <c r="K61" s="2760"/>
      <c r="L61" s="2760"/>
      <c r="X61" s="2752"/>
      <c r="Y61" s="2752"/>
      <c r="Z61" s="2752"/>
    </row>
    <row r="62" spans="1:26">
      <c r="A62" s="2692" t="s">
        <v>2642</v>
      </c>
      <c r="B62" s="2762">
        <f t="shared" si="47"/>
        <v>108.5</v>
      </c>
      <c r="C62" s="2762">
        <f t="shared" si="47"/>
        <v>110.5</v>
      </c>
      <c r="D62" s="2762">
        <f t="shared" si="11"/>
        <v>110.5</v>
      </c>
      <c r="E62" s="2762">
        <f t="shared" si="48"/>
        <v>106.5</v>
      </c>
      <c r="F62" s="2762">
        <f t="shared" si="48"/>
        <v>103</v>
      </c>
      <c r="G62" s="3395">
        <v>2003</v>
      </c>
      <c r="H62" s="2698">
        <v>2</v>
      </c>
      <c r="I62" s="2760"/>
      <c r="J62" s="2760"/>
      <c r="K62" s="2760"/>
      <c r="L62" s="2760"/>
      <c r="X62" s="2752"/>
      <c r="Y62" s="2752"/>
      <c r="Z62" s="2752"/>
    </row>
    <row r="63" spans="1:26" ht="13.5" thickBot="1">
      <c r="A63" s="2692" t="s">
        <v>2643</v>
      </c>
      <c r="B63" s="2762">
        <f t="shared" si="47"/>
        <v>107.25</v>
      </c>
      <c r="C63" s="2762">
        <f t="shared" si="47"/>
        <v>108.75</v>
      </c>
      <c r="D63" s="2762">
        <f t="shared" si="11"/>
        <v>108.75</v>
      </c>
      <c r="E63" s="2762">
        <f t="shared" si="48"/>
        <v>105.75</v>
      </c>
      <c r="F63" s="2762">
        <f t="shared" si="48"/>
        <v>102.5</v>
      </c>
      <c r="G63" s="3396">
        <v>2003</v>
      </c>
      <c r="H63" s="2763">
        <v>1</v>
      </c>
      <c r="I63" s="2760"/>
      <c r="J63" s="2760"/>
      <c r="K63" s="2760"/>
      <c r="L63" s="2760"/>
      <c r="S63" s="2702"/>
      <c r="T63" s="2703"/>
      <c r="U63" s="2703"/>
      <c r="X63" s="2752"/>
      <c r="Y63" s="2752"/>
      <c r="Z63" s="2752"/>
    </row>
    <row r="64" spans="1:26" ht="13.5" thickBot="1">
      <c r="A64" s="2692" t="s">
        <v>2644</v>
      </c>
      <c r="B64" s="2764">
        <v>106</v>
      </c>
      <c r="C64" s="2764">
        <v>107</v>
      </c>
      <c r="D64" s="2764">
        <f t="shared" si="11"/>
        <v>107</v>
      </c>
      <c r="E64" s="2764">
        <v>105</v>
      </c>
      <c r="F64" s="2765">
        <v>102</v>
      </c>
      <c r="G64" s="3394">
        <v>2002</v>
      </c>
      <c r="H64" s="2713">
        <v>4</v>
      </c>
      <c r="I64" s="2760"/>
      <c r="J64" s="2760"/>
      <c r="K64" s="2760"/>
      <c r="L64" s="2760"/>
      <c r="N64" s="2761"/>
      <c r="O64" s="2760"/>
      <c r="P64" s="2760"/>
      <c r="Q64" s="2760"/>
      <c r="S64" s="2761"/>
      <c r="T64" s="2760"/>
      <c r="U64" s="2760"/>
      <c r="V64" s="2760"/>
      <c r="X64" s="2752"/>
      <c r="Y64" s="2752"/>
      <c r="Z64" s="2752"/>
    </row>
    <row r="65" spans="1:26">
      <c r="A65" s="2692" t="s">
        <v>2645</v>
      </c>
      <c r="B65" s="2762">
        <f t="shared" ref="B65:C67" si="49">B66+(B$64-B$68)/4</f>
        <v>105</v>
      </c>
      <c r="C65" s="2762">
        <f t="shared" si="49"/>
        <v>106</v>
      </c>
      <c r="D65" s="2762">
        <f t="shared" si="11"/>
        <v>106</v>
      </c>
      <c r="E65" s="2762">
        <f t="shared" ref="E65:F67" si="50">E66+(E$64-E$68)/4</f>
        <v>104.5</v>
      </c>
      <c r="F65" s="2762">
        <f t="shared" si="50"/>
        <v>101.5</v>
      </c>
      <c r="G65" s="3395">
        <v>2002</v>
      </c>
      <c r="H65" s="2718">
        <v>3</v>
      </c>
      <c r="I65" s="2760"/>
      <c r="J65" s="2760"/>
      <c r="K65" s="2760"/>
      <c r="L65" s="2760"/>
      <c r="X65" s="2752"/>
      <c r="Y65" s="2752"/>
      <c r="Z65" s="2752"/>
    </row>
    <row r="66" spans="1:26">
      <c r="A66" s="2692" t="s">
        <v>2646</v>
      </c>
      <c r="B66" s="2762">
        <f t="shared" si="49"/>
        <v>104</v>
      </c>
      <c r="C66" s="2762">
        <f t="shared" si="49"/>
        <v>105</v>
      </c>
      <c r="D66" s="2762">
        <f t="shared" si="11"/>
        <v>105</v>
      </c>
      <c r="E66" s="2762">
        <f t="shared" si="50"/>
        <v>104</v>
      </c>
      <c r="F66" s="2762">
        <f t="shared" si="50"/>
        <v>101</v>
      </c>
      <c r="G66" s="3395">
        <v>2002</v>
      </c>
      <c r="H66" s="2698">
        <v>2</v>
      </c>
      <c r="I66" s="2760"/>
      <c r="J66" s="2760"/>
      <c r="K66" s="2760"/>
      <c r="L66" s="2760"/>
      <c r="X66" s="2752"/>
      <c r="Y66" s="2752"/>
      <c r="Z66" s="2752"/>
    </row>
    <row r="67" spans="1:26" s="2729" customFormat="1" ht="13.5" thickBot="1">
      <c r="A67" s="2725" t="s">
        <v>2647</v>
      </c>
      <c r="B67" s="2766">
        <f t="shared" si="49"/>
        <v>103</v>
      </c>
      <c r="C67" s="2766">
        <f t="shared" si="49"/>
        <v>104</v>
      </c>
      <c r="D67" s="2766">
        <f t="shared" si="11"/>
        <v>104</v>
      </c>
      <c r="E67" s="2766">
        <f t="shared" si="50"/>
        <v>103.5</v>
      </c>
      <c r="F67" s="2766">
        <f t="shared" si="50"/>
        <v>100.5</v>
      </c>
      <c r="G67" s="3396">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2648</v>
      </c>
      <c r="G70" s="2776"/>
      <c r="N70" s="2776"/>
      <c r="S70" s="2776"/>
    </row>
    <row r="71" spans="1:26" s="2775" customFormat="1">
      <c r="A71" s="2775" t="s">
        <v>2649</v>
      </c>
      <c r="G71" s="2776"/>
      <c r="N71" s="2776"/>
      <c r="S71" s="2776"/>
    </row>
    <row r="72" spans="1:26" s="2775" customFormat="1">
      <c r="A72" s="2775" t="s">
        <v>2650</v>
      </c>
      <c r="G72" s="2776"/>
      <c r="I72" s="2777"/>
      <c r="J72" s="2777"/>
      <c r="K72" s="2777"/>
      <c r="L72" s="2777"/>
      <c r="N72" s="2778"/>
      <c r="O72" s="2777"/>
      <c r="P72" s="2777"/>
      <c r="Q72" s="2777"/>
      <c r="S72" s="2778"/>
      <c r="T72" s="2777"/>
      <c r="U72" s="2777"/>
      <c r="V72" s="2777"/>
    </row>
    <row r="73" spans="1:26" s="2775" customFormat="1">
      <c r="A73" s="2775" t="s">
        <v>2651</v>
      </c>
      <c r="G73" s="2776"/>
      <c r="N73" s="2776"/>
      <c r="S73" s="2776"/>
    </row>
    <row r="80" spans="1:26" ht="13.5" thickBot="1"/>
    <row r="81" spans="14:22" s="2701" customFormat="1">
      <c r="N81" s="2717"/>
      <c r="S81" s="2779" t="s">
        <v>2652</v>
      </c>
      <c r="T81" s="2780" t="s">
        <v>2653</v>
      </c>
      <c r="U81" s="2780" t="s">
        <v>2654</v>
      </c>
      <c r="V81" s="2780" t="s">
        <v>2655</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4"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2472</v>
      </c>
      <c r="C7" s="53">
        <f ca="1">C8+C12+C14</f>
        <v>0</v>
      </c>
      <c r="D7" s="2532" t="s">
        <v>2475</v>
      </c>
      <c r="E7" s="2526"/>
      <c r="F7" s="2527"/>
      <c r="G7" s="1598"/>
      <c r="H7" s="784">
        <v>1</v>
      </c>
      <c r="I7" s="785" t="s">
        <v>2472</v>
      </c>
      <c r="J7" s="53">
        <f ca="1">J8+J12+J14</f>
        <v>0</v>
      </c>
      <c r="K7" s="2532" t="s">
        <v>2475</v>
      </c>
      <c r="L7" s="2526"/>
      <c r="M7" s="2527"/>
    </row>
    <row r="8" spans="1:25" ht="18" customHeight="1">
      <c r="A8" s="1837" t="s">
        <v>1829</v>
      </c>
      <c r="B8" s="3402" t="s">
        <v>2477</v>
      </c>
      <c r="C8" s="1832">
        <f ca="1">ROUND(F8*F10*F9*(1-F11)/10000,0)</f>
        <v>0</v>
      </c>
      <c r="D8" s="1829" t="s">
        <v>2549</v>
      </c>
      <c r="E8" s="61" t="s">
        <v>638</v>
      </c>
      <c r="F8" s="788">
        <f ca="1">INDIRECT("'数据-取费表'!u"&amp;$G$1)</f>
        <v>0</v>
      </c>
      <c r="G8" s="1598"/>
      <c r="H8" s="2540" t="s">
        <v>1829</v>
      </c>
      <c r="I8" s="3402" t="s">
        <v>2477</v>
      </c>
      <c r="J8" s="786">
        <f ca="1">ROUND(M8*M10*M9*(1-M11)/10000,0)</f>
        <v>0</v>
      </c>
      <c r="K8" s="344" t="s">
        <v>2549</v>
      </c>
      <c r="L8" s="787" t="s">
        <v>1742</v>
      </c>
      <c r="M8" s="788">
        <f ca="1">INDIRECT("'数据-取费表'!z"&amp;$G$1)</f>
        <v>0</v>
      </c>
    </row>
    <row r="9" spans="1:25" ht="18" customHeight="1">
      <c r="A9" s="2536"/>
      <c r="B9" s="3403"/>
      <c r="C9" s="1833"/>
      <c r="D9" s="1830"/>
      <c r="E9" s="61" t="s">
        <v>639</v>
      </c>
      <c r="F9" s="788">
        <f ca="1">IF(INDIRECT("'数据-取费表'!ah"&amp;$G$1)="",INDIRECT("'数据-取费表'!k"&amp;$G$1),INDIRECT("'数据-取费表'!ah"&amp;$G$1))</f>
        <v>0</v>
      </c>
      <c r="G9" s="1598"/>
      <c r="H9" s="2525"/>
      <c r="I9" s="3403"/>
      <c r="J9" s="791"/>
      <c r="K9" s="792"/>
      <c r="L9" s="787" t="s">
        <v>1743</v>
      </c>
      <c r="M9" s="788">
        <f ca="1">F9</f>
        <v>0</v>
      </c>
    </row>
    <row r="10" spans="1:25" ht="18" customHeight="1">
      <c r="A10" s="2529"/>
      <c r="B10" s="3404"/>
      <c r="C10" s="1833"/>
      <c r="D10" s="1830"/>
      <c r="E10" s="61" t="s">
        <v>640</v>
      </c>
      <c r="F10" s="788">
        <f ca="1">INDIRECT("'数据-取费表'!ai"&amp;$G$1)</f>
        <v>0</v>
      </c>
      <c r="G10" s="1598"/>
      <c r="H10" s="2525"/>
      <c r="I10" s="3404"/>
      <c r="J10" s="791"/>
      <c r="K10" s="792"/>
      <c r="L10" s="787" t="s">
        <v>1744</v>
      </c>
      <c r="M10" s="788">
        <f ca="1">INDIRECT("'数据-取费表'!ai"&amp;$G$1)</f>
        <v>0</v>
      </c>
    </row>
    <row r="11" spans="1:25" ht="18" customHeight="1">
      <c r="A11" s="789"/>
      <c r="B11" s="3405"/>
      <c r="C11" s="1833"/>
      <c r="D11" s="1830"/>
      <c r="E11" s="61" t="s">
        <v>641</v>
      </c>
      <c r="F11" s="797">
        <f ca="1">INDIRECT("'数据-取费表'!w"&amp;$G$1)</f>
        <v>0</v>
      </c>
      <c r="G11" s="1598"/>
      <c r="H11" s="2541"/>
      <c r="I11" s="3404"/>
      <c r="J11" s="791"/>
      <c r="K11" s="792"/>
      <c r="L11" s="798" t="s">
        <v>1745</v>
      </c>
      <c r="M11" s="799">
        <f ca="1">INDIRECT("'数据-取费表'!ab"&amp;$G$1)</f>
        <v>0</v>
      </c>
    </row>
    <row r="12" spans="1:25" ht="18" customHeight="1">
      <c r="A12" s="1837" t="s">
        <v>1830</v>
      </c>
      <c r="B12" s="2530" t="s">
        <v>2473</v>
      </c>
      <c r="C12" s="802">
        <f ca="1">ROUND(IF(F12="押一",F8*F10*F9/12*F13,IF(F12="押二",F8*F10*F9/12*2*F13,IF(F12="押三",F8*F10*F9/12*3*F13,C13*F13)))/10000,0)</f>
        <v>0</v>
      </c>
      <c r="D12" s="2537" t="s">
        <v>2480</v>
      </c>
      <c r="E12" s="2534" t="s">
        <v>2478</v>
      </c>
      <c r="F12" s="2657"/>
      <c r="G12" s="1598"/>
      <c r="H12" s="2597" t="s">
        <v>1830</v>
      </c>
      <c r="I12" s="2602" t="s">
        <v>2473</v>
      </c>
      <c r="J12" s="786">
        <f ca="1">ROUND(IF(M12="押一",M8*M10*M9/12*M13,IF(M12="押二",M8*M10*M9/12*2*M13,IF(M12="押三",M8*M10*M9/12*3*M13,J13*M13)))/10000,0)</f>
        <v>0</v>
      </c>
      <c r="K12" s="2537" t="s">
        <v>2480</v>
      </c>
      <c r="L12" s="2534" t="s">
        <v>2478</v>
      </c>
      <c r="M12" s="2657"/>
    </row>
    <row r="13" spans="1:25" ht="18" customHeight="1">
      <c r="A13" s="793"/>
      <c r="B13" s="2531" t="s">
        <v>2588</v>
      </c>
      <c r="C13" s="2535"/>
      <c r="D13" s="792"/>
      <c r="E13" s="2534" t="s">
        <v>2470</v>
      </c>
      <c r="F13" s="799">
        <f ca="1">'数据-取费表'!B39</f>
        <v>1.4999999999999999E-2</v>
      </c>
      <c r="G13" s="1598"/>
      <c r="H13" s="2598"/>
      <c r="I13" s="2531" t="s">
        <v>2588</v>
      </c>
      <c r="J13" s="2535"/>
      <c r="K13" s="2599"/>
      <c r="L13" s="2534" t="s">
        <v>2470</v>
      </c>
      <c r="M13" s="2528">
        <f ca="1">'数据-取费表'!B39</f>
        <v>1.4999999999999999E-2</v>
      </c>
    </row>
    <row r="14" spans="1:25" ht="18" customHeight="1" thickBot="1">
      <c r="A14" s="2573" t="s">
        <v>2482</v>
      </c>
      <c r="B14" s="2574" t="s">
        <v>2474</v>
      </c>
      <c r="C14" s="2575"/>
      <c r="D14" s="2576"/>
      <c r="E14" s="2577"/>
      <c r="F14" s="2578"/>
      <c r="G14" s="1598"/>
      <c r="H14" s="2587" t="s">
        <v>2482</v>
      </c>
      <c r="I14" s="2600" t="s">
        <v>2474</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2080</v>
      </c>
      <c r="I16" s="2242" t="s">
        <v>2843</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0.05</v>
      </c>
      <c r="G17" s="1599"/>
      <c r="H17" s="806" t="s">
        <v>2081</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2080</v>
      </c>
      <c r="I19" s="787" t="s">
        <v>657</v>
      </c>
      <c r="J19" s="53">
        <f ca="1">ROUND(IF(项目基本情况!B11="自然人",J7*M19,J20+J21+J22),0)</f>
        <v>0</v>
      </c>
      <c r="K19" s="1986" t="s">
        <v>658</v>
      </c>
      <c r="L19" s="1984" t="s">
        <v>659</v>
      </c>
      <c r="M19" s="813">
        <f ca="1">IF(项目基本情况!B11="企业","",IF(INDIRECT("'数据-取费表'!c"&amp;$G$1)="住宅",5%,IF(M8*M9*M10/12/(1+'数据-取费表'!C42)&gt;20000,12%,7%)))</f>
        <v>7.0000000000000007E-2</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2081</v>
      </c>
      <c r="I24" s="787" t="s">
        <v>677</v>
      </c>
      <c r="J24" s="53">
        <f ca="1">ROUND(J16*M24,0)</f>
        <v>0</v>
      </c>
      <c r="K24" s="1984" t="s">
        <v>678</v>
      </c>
      <c r="L24" s="787" t="s">
        <v>650</v>
      </c>
      <c r="M24" s="820">
        <f ca="1">INDIRECT("'数据-取费表'!Ak"&amp;$G$1)</f>
        <v>0</v>
      </c>
    </row>
    <row r="25" spans="1:25" s="2072" customFormat="1" ht="18" customHeight="1">
      <c r="A25" s="806" t="s">
        <v>1880</v>
      </c>
      <c r="B25" s="787" t="s">
        <v>2450</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3</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1.4E-3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2840</v>
      </c>
      <c r="J27" s="802">
        <f ca="1">J7-J18</f>
        <v>0</v>
      </c>
      <c r="K27" s="1986" t="s">
        <v>702</v>
      </c>
      <c r="L27" s="1988"/>
      <c r="M27" s="823"/>
    </row>
    <row r="28" spans="1:25" ht="18" customHeight="1">
      <c r="A28" s="806" t="s">
        <v>1880</v>
      </c>
      <c r="B28" s="787" t="s">
        <v>2451</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2841</v>
      </c>
      <c r="C31" s="2580">
        <f ca="1">ROUND((C21+C22+C25+C28)/(1-F23-C26-C29-C30),0)</f>
        <v>0</v>
      </c>
      <c r="D31" s="2581"/>
      <c r="E31" s="2582"/>
      <c r="F31" s="2583"/>
      <c r="G31" s="1599"/>
      <c r="H31" s="826" t="s">
        <v>1877</v>
      </c>
      <c r="I31" s="3052" t="s">
        <v>2842</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f ca="1">IF(项目基本情况!B11="企业","",IF(INDIRECT("'数据-取费表'!c"&amp;$G$1)="住宅",5%,IF(F8*F9*F10/12/(1+'数据-取费表'!C42)&gt;20000,12%,7%)))</f>
        <v>7.0000000000000007E-2</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1"/>
      <c r="J36" s="2087"/>
      <c r="K36" s="2088"/>
      <c r="L36" s="2087"/>
      <c r="M36" s="2087"/>
    </row>
    <row r="37" spans="1:13" ht="18" customHeight="1">
      <c r="A37" s="818"/>
      <c r="B37" s="796"/>
      <c r="C37" s="69"/>
      <c r="D37" s="819"/>
      <c r="E37" s="787" t="s">
        <v>675</v>
      </c>
      <c r="F37" s="788">
        <f ca="1">INDIRECT("'数据-取费表'!r"&amp;$G$1)</f>
        <v>0</v>
      </c>
      <c r="G37" s="2070"/>
      <c r="H37" s="2073"/>
      <c r="I37" s="3401"/>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E37" zoomScale="80" zoomScaleNormal="80" workbookViewId="0">
      <selection activeCell="L52" sqref="L52"/>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c r="D1" s="2057"/>
      <c r="E1" s="2423" t="s">
        <v>2387</v>
      </c>
      <c r="F1" s="2424">
        <f ca="1">J53</f>
        <v>0</v>
      </c>
      <c r="G1" s="777">
        <f>MATCH(C1,'数据-取费表'!A6:A16,0)+5</f>
        <v>7</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t="e">
        <f ca="1">C40+J29+L46</f>
        <v>#DIV/0!</v>
      </c>
      <c r="C2" s="2065"/>
      <c r="D2" s="2063"/>
      <c r="E2" s="2064"/>
      <c r="F2" s="2064"/>
      <c r="G2" s="1596"/>
      <c r="H2" s="2065"/>
      <c r="I2" s="2065"/>
      <c r="J2" s="2065"/>
      <c r="K2" s="2066"/>
      <c r="L2" s="2065"/>
      <c r="M2" s="2065"/>
    </row>
    <row r="3" spans="1:33" ht="18" customHeight="1" thickBot="1">
      <c r="A3" s="836" t="s">
        <v>1731</v>
      </c>
      <c r="B3" s="837">
        <f ca="1">IF(ISERROR(B2*10000/F43),0,ROUND(B2*10000/F43,0))</f>
        <v>0</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2472</v>
      </c>
      <c r="C5" s="55">
        <f ca="1">C6+C10+C12</f>
        <v>0</v>
      </c>
      <c r="D5" s="2532" t="s">
        <v>2475</v>
      </c>
      <c r="E5" s="2526"/>
      <c r="F5" s="2527"/>
      <c r="G5" s="1598"/>
      <c r="H5" s="784">
        <v>1</v>
      </c>
      <c r="I5" s="785" t="s">
        <v>2472</v>
      </c>
      <c r="J5" s="55">
        <f ca="1">J6+J10+J12</f>
        <v>0</v>
      </c>
      <c r="K5" s="2532" t="s">
        <v>2475</v>
      </c>
      <c r="L5" s="2526"/>
      <c r="M5" s="2527"/>
    </row>
    <row r="6" spans="1:33" ht="18" customHeight="1">
      <c r="A6" s="1837" t="s">
        <v>1829</v>
      </c>
      <c r="B6" s="3402" t="s">
        <v>2477</v>
      </c>
      <c r="C6" s="786">
        <f ca="1">ROUND(F6*F8*F7*(1-F9)/10000,0)</f>
        <v>0</v>
      </c>
      <c r="D6" s="2533" t="s">
        <v>2476</v>
      </c>
      <c r="E6" s="787" t="s">
        <v>1742</v>
      </c>
      <c r="F6" s="788">
        <f ca="1">INDIRECT("'数据-取费表'!u"&amp;$G$1)</f>
        <v>0</v>
      </c>
      <c r="G6" s="1598"/>
      <c r="H6" s="2540" t="s">
        <v>2483</v>
      </c>
      <c r="I6" s="3402" t="s">
        <v>2477</v>
      </c>
      <c r="J6" s="786">
        <f ca="1">ROUND(M6*M8*M7*(1-M9)/10000,0)</f>
        <v>0</v>
      </c>
      <c r="K6" s="344" t="s">
        <v>1741</v>
      </c>
      <c r="L6" s="787" t="s">
        <v>1742</v>
      </c>
      <c r="M6" s="788">
        <f ca="1">INDIRECT("'数据-取费表'!z"&amp;$G$1)</f>
        <v>0</v>
      </c>
    </row>
    <row r="7" spans="1:33" ht="18" customHeight="1">
      <c r="A7" s="2536"/>
      <c r="B7" s="3403"/>
      <c r="C7" s="791"/>
      <c r="D7" s="792"/>
      <c r="E7" s="787" t="s">
        <v>1743</v>
      </c>
      <c r="F7" s="788">
        <f ca="1">IF(INDIRECT("'数据-取费表'!ah"&amp;$G$1)="",INDIRECT("'数据-取费表'!k"&amp;$G$1),INDIRECT("'数据-取费表'!ah"&amp;$G$1))</f>
        <v>0</v>
      </c>
      <c r="G7" s="1598"/>
      <c r="H7" s="2525"/>
      <c r="I7" s="3403"/>
      <c r="J7" s="791"/>
      <c r="K7" s="792"/>
      <c r="L7" s="787" t="s">
        <v>1743</v>
      </c>
      <c r="M7" s="788">
        <f ca="1">F7</f>
        <v>0</v>
      </c>
    </row>
    <row r="8" spans="1:33" ht="18" customHeight="1">
      <c r="A8" s="2529"/>
      <c r="B8" s="3404"/>
      <c r="C8" s="791"/>
      <c r="D8" s="792"/>
      <c r="E8" s="787" t="s">
        <v>1744</v>
      </c>
      <c r="F8" s="788">
        <f ca="1">INDIRECT("'数据-取费表'!ai"&amp;$G$1)</f>
        <v>0</v>
      </c>
      <c r="G8" s="1598"/>
      <c r="H8" s="2525"/>
      <c r="I8" s="3404"/>
      <c r="J8" s="791"/>
      <c r="K8" s="792"/>
      <c r="L8" s="787" t="s">
        <v>1744</v>
      </c>
      <c r="M8" s="788">
        <f ca="1">INDIRECT("'数据-取费表'!ai"&amp;$G$1)</f>
        <v>0</v>
      </c>
    </row>
    <row r="9" spans="1:33" ht="18" customHeight="1">
      <c r="A9" s="789"/>
      <c r="B9" s="3405"/>
      <c r="C9" s="791"/>
      <c r="D9" s="792"/>
      <c r="E9" s="787" t="s">
        <v>1745</v>
      </c>
      <c r="F9" s="797">
        <f ca="1">INDIRECT("'数据-取费表'!w"&amp;$G$1)</f>
        <v>0</v>
      </c>
      <c r="G9" s="1598"/>
      <c r="H9" s="2541"/>
      <c r="I9" s="3404"/>
      <c r="J9" s="791"/>
      <c r="K9" s="792"/>
      <c r="L9" s="798" t="s">
        <v>1745</v>
      </c>
      <c r="M9" s="799">
        <f ca="1">INDIRECT("'数据-取费表'!ab"&amp;$G$1)</f>
        <v>0</v>
      </c>
    </row>
    <row r="10" spans="1:33" ht="18" customHeight="1">
      <c r="A10" s="1837" t="s">
        <v>2481</v>
      </c>
      <c r="B10" s="2530" t="s">
        <v>2473</v>
      </c>
      <c r="C10" s="802">
        <f ca="1">ROUND(IF(F10="押一",F6*F8*F7/12*F11,IF(F10="押二",F6*F8*F7/12*2*F11,IF(F10="押三",F6*F8*F7/12*3*F11,C11*F11)))/10000,0)</f>
        <v>0</v>
      </c>
      <c r="D10" s="2537" t="s">
        <v>2480</v>
      </c>
      <c r="E10" s="2534" t="s">
        <v>2478</v>
      </c>
      <c r="F10" s="2657"/>
      <c r="G10" s="1598"/>
      <c r="H10" s="2597" t="s">
        <v>2484</v>
      </c>
      <c r="I10" s="2602" t="s">
        <v>2473</v>
      </c>
      <c r="J10" s="786">
        <f ca="1">ROUND(IF(M10="押一",M6*M8*M7/12*M11,IF(M10="押二",M6*M8*M7/12*2*M11,IF(M10="押三",M6*M8*M7/12*3*M11,J11*M11)))/10000,0)</f>
        <v>0</v>
      </c>
      <c r="K10" s="2537" t="s">
        <v>2480</v>
      </c>
      <c r="L10" s="2534" t="s">
        <v>2478</v>
      </c>
      <c r="M10" s="2657"/>
    </row>
    <row r="11" spans="1:33" ht="18" customHeight="1">
      <c r="A11" s="793"/>
      <c r="B11" s="2531" t="s">
        <v>2588</v>
      </c>
      <c r="C11" s="2535"/>
      <c r="D11" s="792"/>
      <c r="E11" s="2534" t="s">
        <v>2479</v>
      </c>
      <c r="F11" s="799">
        <f ca="1">'数据-取费表'!B39</f>
        <v>1.4999999999999999E-2</v>
      </c>
      <c r="G11" s="1598"/>
      <c r="H11" s="2598"/>
      <c r="I11" s="2531" t="s">
        <v>2588</v>
      </c>
      <c r="J11" s="2535"/>
      <c r="K11" s="2599"/>
      <c r="L11" s="2534" t="s">
        <v>2479</v>
      </c>
      <c r="M11" s="2528">
        <f ca="1">'数据-取费表'!B39</f>
        <v>1.4999999999999999E-2</v>
      </c>
    </row>
    <row r="12" spans="1:33" ht="18" customHeight="1" thickBot="1">
      <c r="A12" s="2573" t="s">
        <v>2482</v>
      </c>
      <c r="B12" s="2574" t="s">
        <v>2474</v>
      </c>
      <c r="C12" s="2575"/>
      <c r="D12" s="2576"/>
      <c r="E12" s="2577"/>
      <c r="F12" s="2578"/>
      <c r="G12" s="1598"/>
      <c r="H12" s="2587" t="s">
        <v>2485</v>
      </c>
      <c r="I12" s="2600" t="s">
        <v>2474</v>
      </c>
      <c r="J12" s="2601"/>
      <c r="K12" s="2576"/>
      <c r="L12" s="2577"/>
      <c r="M12" s="2590"/>
    </row>
    <row r="13" spans="1:33" ht="18" customHeight="1" thickTop="1">
      <c r="A13" s="1836">
        <v>2</v>
      </c>
      <c r="B13" s="1834" t="s">
        <v>1746</v>
      </c>
      <c r="C13" s="795">
        <f ca="1">ROUND(C29*F13,0)</f>
        <v>0</v>
      </c>
      <c r="D13" s="1841" t="s">
        <v>2308</v>
      </c>
      <c r="E13" s="1841" t="s">
        <v>1748</v>
      </c>
      <c r="F13" s="2572">
        <f ca="1">INDIRECT("'数据-取费表'!y"&amp;$G$1)</f>
        <v>0</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0</v>
      </c>
      <c r="D14" s="1986" t="s">
        <v>1749</v>
      </c>
      <c r="E14" s="1987"/>
      <c r="F14" s="808"/>
      <c r="G14" s="1598"/>
      <c r="H14" s="1655" t="s">
        <v>1835</v>
      </c>
      <c r="I14" s="2242" t="s">
        <v>2844</v>
      </c>
      <c r="J14" s="53">
        <f ca="1">C29</f>
        <v>0</v>
      </c>
      <c r="K14" s="26"/>
      <c r="L14" s="804"/>
      <c r="M14" s="805"/>
    </row>
    <row r="15" spans="1:33" s="2072" customFormat="1" ht="18" customHeight="1" thickBot="1">
      <c r="A15" s="1654" t="s">
        <v>1890</v>
      </c>
      <c r="B15" s="787" t="s">
        <v>648</v>
      </c>
      <c r="C15" s="53">
        <f ca="1">ROUND(C14*F15,0)</f>
        <v>0</v>
      </c>
      <c r="D15" s="809" t="s">
        <v>1750</v>
      </c>
      <c r="E15" s="809" t="s">
        <v>1751</v>
      </c>
      <c r="F15" s="810">
        <f>'数据-取费表'!B33</f>
        <v>0.05</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0</v>
      </c>
      <c r="K16" s="1828" t="s">
        <v>1754</v>
      </c>
      <c r="L16" s="2522"/>
      <c r="M16" s="2527"/>
    </row>
    <row r="17" spans="1:33" s="2072" customFormat="1" ht="18" customHeight="1">
      <c r="A17" s="1654" t="s">
        <v>1892</v>
      </c>
      <c r="B17" s="787" t="s">
        <v>654</v>
      </c>
      <c r="C17" s="53">
        <f ca="1">ROUND(F17*(F43+INDIRECT("'数据-取费表'!S"&amp;$G$1))/10000,0)</f>
        <v>0</v>
      </c>
      <c r="D17" s="787" t="s">
        <v>1755</v>
      </c>
      <c r="E17" s="787" t="s">
        <v>1756</v>
      </c>
      <c r="F17" s="56">
        <f>'数据-取费表'!B35</f>
        <v>150</v>
      </c>
      <c r="G17" s="1599"/>
      <c r="H17" s="1655" t="s">
        <v>1835</v>
      </c>
      <c r="I17" s="787" t="s">
        <v>657</v>
      </c>
      <c r="J17" s="53">
        <f ca="1">ROUND(IF(项目基本情况!B11="自然人",J5*M17,J18+J19+J20),0)</f>
        <v>0</v>
      </c>
      <c r="K17" s="2521" t="s">
        <v>1757</v>
      </c>
      <c r="L17" s="2520" t="s">
        <v>1758</v>
      </c>
      <c r="M17" s="813">
        <f ca="1">IF(项目基本情况!B11="企业","",IF(INDIRECT("'数据-取费表'!c"&amp;$G$1)="住宅",5%,IF(M6*M7*M8/12/(1+'数据-取费表'!C42)&gt;20000,12%,7%)))</f>
        <v>7.0000000000000007E-2</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0</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0</v>
      </c>
      <c r="D19" s="261" t="s">
        <v>1761</v>
      </c>
      <c r="E19" s="1989"/>
      <c r="F19" s="56"/>
      <c r="G19" s="1598"/>
      <c r="H19" s="1654" t="s">
        <v>1890</v>
      </c>
      <c r="I19" s="787" t="s">
        <v>1762</v>
      </c>
      <c r="J19" s="53">
        <f ca="1">IF(K19="按租金收入计税",ROUND(J5*M19,1),ROUND(C29*F33*0.7,1))</f>
        <v>0</v>
      </c>
      <c r="K19" s="814" t="s">
        <v>666</v>
      </c>
      <c r="L19" s="787" t="s">
        <v>1751</v>
      </c>
      <c r="M19" s="812">
        <f>IF(K19="按租金收入计税",'数据-取费表'!B51,'数据-取费表'!B50)</f>
        <v>1.2E-2</v>
      </c>
    </row>
    <row r="20" spans="1:33" s="2072" customFormat="1" ht="18" customHeight="1">
      <c r="A20" s="1655" t="s">
        <v>1894</v>
      </c>
      <c r="B20" s="787" t="s">
        <v>667</v>
      </c>
      <c r="C20" s="53">
        <f ca="1">ROUND(C19*F20,0)</f>
        <v>0</v>
      </c>
      <c r="D20" s="815" t="s">
        <v>1763</v>
      </c>
      <c r="E20" s="787" t="s">
        <v>1751</v>
      </c>
      <c r="F20" s="812">
        <f>'数据-取费表'!B37</f>
        <v>0.02</v>
      </c>
      <c r="G20" s="1599"/>
      <c r="H20" s="1657" t="s">
        <v>1885</v>
      </c>
      <c r="I20" s="344" t="s">
        <v>1764</v>
      </c>
      <c r="J20" s="54">
        <f ca="1">ROUND(M20*M21/10000,0)</f>
        <v>0</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2309</v>
      </c>
      <c r="E21" s="787" t="s">
        <v>1769</v>
      </c>
      <c r="F21" s="812">
        <f>'数据-取费表'!B38</f>
        <v>0.02</v>
      </c>
      <c r="G21" s="1599"/>
      <c r="H21" s="2542"/>
      <c r="I21" s="796"/>
      <c r="J21" s="69"/>
      <c r="K21" s="819"/>
      <c r="L21" s="787" t="s">
        <v>1770</v>
      </c>
      <c r="M21" s="788">
        <f ca="1">INDIRECT("'数据-取费表'!r"&amp;$G$1)</f>
        <v>0</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0</v>
      </c>
      <c r="K22" s="2520" t="s">
        <v>1773</v>
      </c>
      <c r="L22" s="787" t="s">
        <v>1751</v>
      </c>
      <c r="M22" s="820">
        <f ca="1">INDIRECT("'数据-取费表'!Ak"&amp;$G$1)</f>
        <v>0</v>
      </c>
    </row>
    <row r="23" spans="1:33" s="2072" customFormat="1" ht="18" customHeight="1">
      <c r="A23" s="1654" t="s">
        <v>1836</v>
      </c>
      <c r="B23" s="787" t="s">
        <v>2550</v>
      </c>
      <c r="C23" s="53">
        <f ca="1">ROUND(IF('数据-取费表'!B22&lt;=1,(C19+C20)*F24*F23/2,(C19+C20)*(POWER((1+F24),F23/2)-1)),0)</f>
        <v>0</v>
      </c>
      <c r="D23" s="2607" t="str">
        <f>IF(F23&lt;=1,"(建造成本+管理费用)×利率×(建设周期÷2)","(建造成本+管理费用)×((1+利率)^(建设周期÷2)-1)")</f>
        <v>(建造成本+管理费用)×((1+利率)^(建设周期÷2)-1)</v>
      </c>
      <c r="E23" s="787" t="s">
        <v>1774</v>
      </c>
      <c r="F23" s="643">
        <f>'数据-取费表'!B20</f>
        <v>3</v>
      </c>
      <c r="G23" s="1599"/>
      <c r="H23" s="1655" t="s">
        <v>1895</v>
      </c>
      <c r="I23" s="787" t="s">
        <v>680</v>
      </c>
      <c r="J23" s="53">
        <f ca="1">ROUND(J13*M23,0)</f>
        <v>0</v>
      </c>
      <c r="K23" s="2520" t="s">
        <v>1775</v>
      </c>
      <c r="L23" s="787" t="s">
        <v>1751</v>
      </c>
      <c r="M23" s="821">
        <f ca="1">INDIRECT("'数据-取费表'!Al"&amp;$G$1)</f>
        <v>0</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1.4E-3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2840</v>
      </c>
      <c r="J25" s="795">
        <f ca="1">J5-J16</f>
        <v>0</v>
      </c>
      <c r="K25" s="2584" t="s">
        <v>1781</v>
      </c>
      <c r="L25" s="2585"/>
      <c r="M25" s="2586"/>
    </row>
    <row r="26" spans="1:33" ht="18" customHeight="1">
      <c r="A26" s="1654" t="s">
        <v>1836</v>
      </c>
      <c r="B26" s="787" t="s">
        <v>2451</v>
      </c>
      <c r="C26" s="53">
        <f ca="1">ROUND((C19+C20)*F26,0)</f>
        <v>0</v>
      </c>
      <c r="D26" s="815" t="s">
        <v>1782</v>
      </c>
      <c r="E26" s="798" t="s">
        <v>1783</v>
      </c>
      <c r="F26" s="797">
        <f ca="1">INDIRECT("'数据-取费表'!q"&amp;$G$1)</f>
        <v>0</v>
      </c>
      <c r="G26" s="1598"/>
      <c r="H26" s="2538" t="s">
        <v>1784</v>
      </c>
      <c r="I26" s="2243" t="s">
        <v>2845</v>
      </c>
      <c r="J26" s="786">
        <f ca="1">IF(J5&lt;&gt;0,ROUND(J25*(1-((1+M28)/(1+M26))^M27)/(M26-M28),0),0)</f>
        <v>0</v>
      </c>
      <c r="K26" s="817" t="s">
        <v>1785</v>
      </c>
      <c r="L26" s="787" t="s">
        <v>2432</v>
      </c>
      <c r="M26" s="797">
        <f ca="1">INDIRECT("'数据-取费表'!I"&amp;$G$1)</f>
        <v>0</v>
      </c>
    </row>
    <row r="27" spans="1:33" ht="18" customHeight="1">
      <c r="A27" s="1654" t="s">
        <v>1837</v>
      </c>
      <c r="B27" s="787" t="s">
        <v>687</v>
      </c>
      <c r="C27" s="53">
        <f ca="1">ROUND(F21*F26,4)</f>
        <v>0</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2310</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2311</v>
      </c>
      <c r="C29" s="2580">
        <f ca="1">ROUND((C19+C20+C23+C26)/(1-F21-C24-C27-C28),0)</f>
        <v>0</v>
      </c>
      <c r="D29" s="2581"/>
      <c r="E29" s="2582"/>
      <c r="F29" s="2583"/>
      <c r="G29" s="1599"/>
      <c r="H29" s="826" t="s">
        <v>1791</v>
      </c>
      <c r="I29" s="827" t="s">
        <v>1792</v>
      </c>
      <c r="J29" s="828">
        <f ca="1">ROUND(J26/(1+F40)^F41,0)</f>
        <v>0</v>
      </c>
      <c r="K29" s="829" t="s">
        <v>1793</v>
      </c>
      <c r="L29" s="830"/>
      <c r="M29" s="831">
        <f ca="1">INDIRECT("'数据-取费表'!k"&amp;$G$1)</f>
        <v>0</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0</v>
      </c>
      <c r="D31" s="1986" t="s">
        <v>1796</v>
      </c>
      <c r="E31" s="1984" t="s">
        <v>1797</v>
      </c>
      <c r="F31" s="813">
        <f ca="1">IF(项目基本情况!B11="企业","",IF(INDIRECT("'数据-取费表'!c"&amp;$G$1)="住宅",5%,IF(F6*F7*F8/12/(1+'数据-取费表'!C42)&gt;20000,12%,7%)))</f>
        <v>7.0000000000000007E-2</v>
      </c>
      <c r="G31" s="2070"/>
      <c r="H31" s="2073"/>
      <c r="I31" s="2074"/>
      <c r="J31" s="2075"/>
      <c r="K31" s="2076"/>
      <c r="L31" s="2077"/>
      <c r="M31" s="2078"/>
    </row>
    <row r="32" spans="1:33" ht="18" customHeight="1">
      <c r="A32" s="1654" t="s">
        <v>1836</v>
      </c>
      <c r="B32" s="787" t="s">
        <v>1798</v>
      </c>
      <c r="C32" s="53">
        <f ca="1">ROUND(C5*F32/1.05,1)</f>
        <v>0</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0</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0</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0</v>
      </c>
      <c r="G35" s="2070"/>
      <c r="H35" s="2073"/>
      <c r="I35" s="840" t="s">
        <v>1819</v>
      </c>
      <c r="J35" s="841">
        <f ca="1">ROUND(C13*J36,0)</f>
        <v>0</v>
      </c>
      <c r="K35" s="2086"/>
      <c r="L35" s="2085"/>
      <c r="M35" s="2085"/>
    </row>
    <row r="36" spans="1:18" ht="18" customHeight="1">
      <c r="A36" s="1655" t="s">
        <v>1894</v>
      </c>
      <c r="B36" s="787" t="s">
        <v>1806</v>
      </c>
      <c r="C36" s="53">
        <f ca="1">ROUND(C29*F36,1)</f>
        <v>0</v>
      </c>
      <c r="D36" s="1984" t="s">
        <v>1807</v>
      </c>
      <c r="E36" s="787" t="s">
        <v>1800</v>
      </c>
      <c r="F36" s="820">
        <f ca="1">INDIRECT("'数据-取费表'!Ak"&amp;$G$1)</f>
        <v>0</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0</v>
      </c>
      <c r="G37" s="2070"/>
      <c r="H37" s="2085"/>
      <c r="I37" s="844" t="s">
        <v>1821</v>
      </c>
      <c r="J37" s="845"/>
      <c r="K37" s="2090"/>
      <c r="L37" s="2085"/>
      <c r="M37" s="2085"/>
    </row>
    <row r="38" spans="1:18" ht="18" customHeight="1" thickBot="1">
      <c r="A38" s="2587" t="s">
        <v>1896</v>
      </c>
      <c r="B38" s="2582" t="s">
        <v>667</v>
      </c>
      <c r="C38" s="2580">
        <f ca="1">ROUND(C5*F38,1)</f>
        <v>0</v>
      </c>
      <c r="D38" s="2581" t="s">
        <v>1809</v>
      </c>
      <c r="E38" s="2582" t="s">
        <v>1800</v>
      </c>
      <c r="F38" s="2578">
        <f ca="1">INDIRECT("'数据-取费表'!Am"&amp;$G$1)</f>
        <v>0</v>
      </c>
      <c r="G38" s="2070"/>
      <c r="H38" s="2085"/>
      <c r="I38" s="846" t="s">
        <v>1822</v>
      </c>
      <c r="J38" s="847"/>
      <c r="K38" s="2091"/>
      <c r="L38" s="2085"/>
      <c r="M38" s="2085"/>
    </row>
    <row r="39" spans="1:18" ht="24.6" customHeight="1" thickTop="1">
      <c r="A39" s="1836" t="s">
        <v>1899</v>
      </c>
      <c r="B39" s="3050" t="s">
        <v>2840</v>
      </c>
      <c r="C39" s="795">
        <f ca="1">C5-C30</f>
        <v>0</v>
      </c>
      <c r="D39" s="2584" t="s">
        <v>1810</v>
      </c>
      <c r="E39" s="2585"/>
      <c r="F39" s="2586"/>
      <c r="G39" s="2070"/>
      <c r="H39" s="2085"/>
      <c r="I39" s="840" t="s">
        <v>1823</v>
      </c>
      <c r="J39" s="848" t="e">
        <f ca="1">ROUND(J35/C39,3)</f>
        <v>#DIV/0!</v>
      </c>
      <c r="K39" s="2091"/>
      <c r="L39" s="2085"/>
      <c r="M39" s="2085"/>
    </row>
    <row r="40" spans="1:18" ht="18" customHeight="1">
      <c r="A40" s="784" t="s">
        <v>1900</v>
      </c>
      <c r="B40" s="2243" t="s">
        <v>2312</v>
      </c>
      <c r="C40" s="786" t="e">
        <f ca="1">ROUND(C39*(1-((1+F42)/(1+F40))^F41)/(F40-F42),0)</f>
        <v>#DIV/0!</v>
      </c>
      <c r="D40" s="817" t="s">
        <v>1811</v>
      </c>
      <c r="E40" s="787" t="s">
        <v>2432</v>
      </c>
      <c r="F40" s="797">
        <f ca="1">INDIRECT("'数据-取费表'!I"&amp;$G$1)</f>
        <v>0</v>
      </c>
      <c r="G40" s="2070"/>
      <c r="H40" s="2070"/>
      <c r="I40" s="840" t="s">
        <v>1824</v>
      </c>
      <c r="J40" s="848" t="e">
        <f ca="1">1-J39</f>
        <v>#DIV/0!</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0</v>
      </c>
      <c r="G41" s="2070"/>
      <c r="H41" s="1995"/>
      <c r="I41" s="846" t="s">
        <v>1825</v>
      </c>
      <c r="J41" s="849"/>
      <c r="K41" s="2090"/>
      <c r="L41" s="1995"/>
      <c r="M41" s="1995"/>
    </row>
    <row r="42" spans="1:18" ht="18" customHeight="1">
      <c r="A42" s="793"/>
      <c r="B42" s="794"/>
      <c r="C42" s="795"/>
      <c r="D42" s="819"/>
      <c r="E42" s="787" t="s">
        <v>1814</v>
      </c>
      <c r="F42" s="797">
        <f ca="1">INDIRECT("'数据-取费表'!v"&amp;$G$1)</f>
        <v>0</v>
      </c>
      <c r="G42" s="2070"/>
      <c r="H42" s="1995"/>
      <c r="I42" s="850" t="s">
        <v>1826</v>
      </c>
      <c r="J42" s="848" t="e">
        <f ca="1">ROUND(C13/C40,3)</f>
        <v>#DIV/0!</v>
      </c>
      <c r="K42" s="2090"/>
      <c r="L42" s="1995"/>
      <c r="M42" s="1995"/>
    </row>
    <row r="43" spans="1:18" ht="18" customHeight="1" thickBot="1">
      <c r="A43" s="826" t="s">
        <v>1791</v>
      </c>
      <c r="B43" s="827" t="s">
        <v>1815</v>
      </c>
      <c r="C43" s="828" t="e">
        <f ca="1">ROUND(C40*10000/F43,0)</f>
        <v>#DIV/0!</v>
      </c>
      <c r="D43" s="829" t="s">
        <v>1816</v>
      </c>
      <c r="E43" s="830" t="s">
        <v>1817</v>
      </c>
      <c r="F43" s="831">
        <f ca="1">INDIRECT("'数据-取费表'!k"&amp;$G$1)</f>
        <v>0</v>
      </c>
      <c r="G43" s="2070"/>
      <c r="H43" s="1995"/>
      <c r="I43" s="850" t="s">
        <v>1827</v>
      </c>
      <c r="J43" s="851" t="e">
        <f ca="1">1-J42</f>
        <v>#DIV/0!</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2306</v>
      </c>
      <c r="B46" s="2093"/>
      <c r="C46" s="2610" t="e">
        <f ca="1">C67-C40</f>
        <v>#DIV/0!</v>
      </c>
      <c r="D46" s="2093"/>
      <c r="E46" s="2093"/>
      <c r="F46" s="2093"/>
      <c r="I46" s="2389" t="s">
        <v>2355</v>
      </c>
      <c r="J46" s="2390"/>
      <c r="K46" s="2391"/>
      <c r="L46" s="2392" t="e">
        <f ca="1">IF(M47="住宅",0,IF(L48&gt;J51,L60,J60))</f>
        <v>#DIV/0!</v>
      </c>
      <c r="O46" s="2430" t="s">
        <v>2423</v>
      </c>
      <c r="P46" s="1598"/>
      <c r="Q46" s="1610"/>
      <c r="R46" s="1598"/>
    </row>
    <row r="47" spans="1:18" s="2067" customFormat="1" ht="18" customHeight="1" thickBot="1">
      <c r="A47" s="2383">
        <v>1</v>
      </c>
      <c r="B47" s="2384" t="s">
        <v>636</v>
      </c>
      <c r="C47" s="2610">
        <f ca="1">C48+C52+C54</f>
        <v>0</v>
      </c>
      <c r="D47" s="2093"/>
      <c r="E47" s="2093"/>
      <c r="F47" s="2093"/>
      <c r="I47" s="2393" t="s">
        <v>2356</v>
      </c>
      <c r="J47" s="2398"/>
      <c r="K47" s="2399" t="s">
        <v>2362</v>
      </c>
      <c r="L47" s="2400">
        <f ca="1">INDIRECT("'数据-取费表'!d"&amp;$G$1)</f>
        <v>0</v>
      </c>
      <c r="M47" s="1610" t="str">
        <f>IF(ISNUMBER(FIND("住宅",C1)),"住宅","非住宅")</f>
        <v>非住宅</v>
      </c>
      <c r="O47" s="2431" t="s">
        <v>2388</v>
      </c>
      <c r="P47" s="2432" t="s">
        <v>2389</v>
      </c>
      <c r="Q47" s="2433" t="s">
        <v>2390</v>
      </c>
      <c r="R47" s="2432" t="s">
        <v>2391</v>
      </c>
    </row>
    <row r="48" spans="1:18" s="2067" customFormat="1" ht="18" customHeight="1" thickBot="1">
      <c r="A48" s="2679" t="s">
        <v>2552</v>
      </c>
      <c r="B48" s="2680" t="s">
        <v>2553</v>
      </c>
      <c r="C48" s="2385">
        <f ca="1">ROUND(F48*F50*F49*(1-F51)/10000,0)</f>
        <v>0</v>
      </c>
      <c r="D48" s="2386" t="s">
        <v>637</v>
      </c>
      <c r="E48" s="2387" t="s">
        <v>2307</v>
      </c>
      <c r="F48" s="2388"/>
      <c r="G48" s="2098"/>
      <c r="I48" s="2394" t="s">
        <v>2357</v>
      </c>
      <c r="J48" s="2401"/>
      <c r="K48" s="2402" t="s">
        <v>2364</v>
      </c>
      <c r="L48" s="2403">
        <f ca="1">INDIRECT("'数据-取费表'!f"&amp;$G$1)</f>
        <v>0</v>
      </c>
      <c r="O48" s="2434" t="s">
        <v>2392</v>
      </c>
      <c r="P48" s="2435" t="s">
        <v>2418</v>
      </c>
      <c r="Q48" s="2436" t="e">
        <f ca="1">C40+J29</f>
        <v>#DIV/0!</v>
      </c>
      <c r="R48" s="2435" t="s">
        <v>2393</v>
      </c>
    </row>
    <row r="49" spans="1:18" s="2067" customFormat="1" ht="18" customHeight="1" thickBot="1">
      <c r="A49" s="789"/>
      <c r="B49" s="790"/>
      <c r="C49" s="791"/>
      <c r="D49" s="792"/>
      <c r="E49" s="787" t="s">
        <v>1743</v>
      </c>
      <c r="F49" s="788">
        <f ca="1">F7</f>
        <v>0</v>
      </c>
      <c r="G49" s="2098"/>
      <c r="H49" s="2101"/>
      <c r="I49" s="2394" t="s">
        <v>2358</v>
      </c>
      <c r="J49" s="2404"/>
      <c r="K49" s="2405" t="s">
        <v>2365</v>
      </c>
      <c r="L49" s="2406"/>
      <c r="O49" s="2434" t="s">
        <v>2394</v>
      </c>
      <c r="P49" s="2435" t="s">
        <v>2419</v>
      </c>
      <c r="Q49" s="2436" t="e">
        <f ca="1">J60</f>
        <v>#DIV/0!</v>
      </c>
      <c r="R49" s="2435" t="s">
        <v>2395</v>
      </c>
    </row>
    <row r="50" spans="1:18" s="2067" customFormat="1" ht="18" customHeight="1" thickBot="1">
      <c r="A50" s="789"/>
      <c r="B50" s="790"/>
      <c r="C50" s="791"/>
      <c r="D50" s="792"/>
      <c r="E50" s="787" t="s">
        <v>1744</v>
      </c>
      <c r="F50" s="788">
        <f ca="1">F8</f>
        <v>0</v>
      </c>
      <c r="G50" s="2106"/>
      <c r="H50" s="2101"/>
      <c r="I50" s="2394" t="s">
        <v>2359</v>
      </c>
      <c r="J50" s="2407">
        <f>SUMPRODUCT((I63:I65=J47)*(J62:L62=J48)*(J63:L65))</f>
        <v>0</v>
      </c>
      <c r="K50" s="2405" t="s">
        <v>2366</v>
      </c>
      <c r="L50" s="2406"/>
      <c r="O50" s="2437" t="s">
        <v>2396</v>
      </c>
      <c r="P50" s="2435" t="s">
        <v>2420</v>
      </c>
      <c r="Q50" s="2436">
        <f ca="1">C29</f>
        <v>0</v>
      </c>
      <c r="R50" s="2435" t="s">
        <v>2393</v>
      </c>
    </row>
    <row r="51" spans="1:18" s="2067" customFormat="1" ht="18" customHeight="1" thickBot="1">
      <c r="A51" s="789"/>
      <c r="B51" s="790"/>
      <c r="C51" s="791"/>
      <c r="D51" s="792"/>
      <c r="E51" s="787" t="s">
        <v>641</v>
      </c>
      <c r="F51" s="2382"/>
      <c r="H51" s="2101"/>
      <c r="I51" s="2395" t="s">
        <v>2360</v>
      </c>
      <c r="J51" s="2408">
        <f>IF(J49="",J50,J49+J50-YEAR('数据-取费表'!B2))</f>
        <v>0</v>
      </c>
      <c r="K51" s="2394" t="s">
        <v>2367</v>
      </c>
      <c r="L51" s="2409">
        <f ca="1">ROUND(-PV(INDIRECT("'数据-取费表'!h"&amp;$G$1),L48,(C39-C13*J35),0),0)</f>
        <v>0</v>
      </c>
      <c r="O51" s="2437" t="s">
        <v>2397</v>
      </c>
      <c r="P51" s="2435" t="s">
        <v>2398</v>
      </c>
      <c r="Q51" s="2438" t="e">
        <f ca="1">J58</f>
        <v>#DIV/0!</v>
      </c>
      <c r="R51" s="2439"/>
    </row>
    <row r="52" spans="1:18" s="2067" customFormat="1" ht="18" customHeight="1" thickBot="1">
      <c r="A52" s="784" t="s">
        <v>2551</v>
      </c>
      <c r="B52" s="2530" t="s">
        <v>2473</v>
      </c>
      <c r="C52" s="802">
        <f ca="1">ROUND(IF(F52="押一",F48*F50*F49/12*F11,IF(F52="押二",F48*F50*F49/12*2*F11,IF(F52="押三",F48*F50*F49/12*3*F11,C53*F11)))/10000,0)</f>
        <v>0</v>
      </c>
      <c r="D52" s="2537" t="s">
        <v>2480</v>
      </c>
      <c r="E52" s="2534" t="s">
        <v>2478</v>
      </c>
      <c r="F52" s="2657"/>
      <c r="I52" s="2396" t="s">
        <v>2434</v>
      </c>
      <c r="J52" s="2410"/>
      <c r="K52" s="2396" t="s">
        <v>2433</v>
      </c>
      <c r="L52" s="2410"/>
      <c r="O52" s="2437" t="s">
        <v>2399</v>
      </c>
      <c r="P52" s="2435" t="s">
        <v>2400</v>
      </c>
      <c r="Q52" s="2438">
        <f>J52</f>
        <v>0</v>
      </c>
      <c r="R52" s="2439"/>
    </row>
    <row r="53" spans="1:18" s="2067" customFormat="1" ht="39.75" customHeight="1" thickBot="1">
      <c r="A53" s="789"/>
      <c r="B53" s="2531" t="s">
        <v>2588</v>
      </c>
      <c r="C53" s="2535"/>
      <c r="D53" s="2537"/>
      <c r="E53" s="2534"/>
      <c r="F53" s="803"/>
      <c r="I53" s="2397" t="s">
        <v>2361</v>
      </c>
      <c r="J53" s="2411">
        <f ca="1">IF(M47="住宅",J51,MIN(J51,L48))</f>
        <v>0</v>
      </c>
      <c r="K53" s="34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07"/>
      <c r="O53" s="2437" t="s">
        <v>2401</v>
      </c>
      <c r="P53" s="2435" t="s">
        <v>2402</v>
      </c>
      <c r="Q53" s="2436">
        <f ca="1">J53</f>
        <v>0</v>
      </c>
      <c r="R53" s="2435" t="s">
        <v>2403</v>
      </c>
    </row>
    <row r="54" spans="1:18" s="2067" customFormat="1" ht="18" customHeight="1" thickBot="1">
      <c r="A54" s="2573" t="s">
        <v>2482</v>
      </c>
      <c r="B54" s="2574" t="s">
        <v>2474</v>
      </c>
      <c r="C54" s="2575"/>
      <c r="D54" s="2537"/>
      <c r="E54" s="2534"/>
      <c r="F54" s="803"/>
      <c r="K54" s="2094"/>
      <c r="O54" s="2434" t="s">
        <v>2404</v>
      </c>
      <c r="P54" s="2435" t="s">
        <v>2421</v>
      </c>
      <c r="Q54" s="2436" t="e">
        <f ca="1">Q48+Q49</f>
        <v>#DIV/0!</v>
      </c>
      <c r="R54" s="2439" t="s">
        <v>2405</v>
      </c>
    </row>
    <row r="55" spans="1:18" s="2067" customFormat="1" ht="18" customHeight="1" thickTop="1" thickBot="1">
      <c r="A55" s="800">
        <v>2</v>
      </c>
      <c r="B55" s="801" t="s">
        <v>645</v>
      </c>
      <c r="C55" s="802">
        <f ca="1">C13</f>
        <v>0</v>
      </c>
      <c r="D55" s="798"/>
      <c r="E55" s="798"/>
      <c r="F55" s="803"/>
      <c r="I55" s="3143" t="s">
        <v>2368</v>
      </c>
      <c r="J55" s="3142" t="e">
        <f ca="1">ROUND(IF(J47="钢混",J57/J50,1-(1-2%)*(J50-J57)/J50),3)</f>
        <v>#DIV/0!</v>
      </c>
      <c r="K55" s="2412" t="s">
        <v>2369</v>
      </c>
      <c r="L55" s="2413"/>
      <c r="O55" s="2440" t="s">
        <v>2424</v>
      </c>
      <c r="P55" s="1598"/>
      <c r="Q55" s="1610"/>
      <c r="R55" s="1598"/>
    </row>
    <row r="56" spans="1:18" s="2067" customFormat="1" ht="42.75" customHeight="1" thickBot="1">
      <c r="A56" s="1656"/>
      <c r="B56" s="2242" t="s">
        <v>2313</v>
      </c>
      <c r="C56" s="53">
        <f ca="1">C29</f>
        <v>0</v>
      </c>
      <c r="D56" s="2676"/>
      <c r="E56" s="787"/>
      <c r="F56" s="812"/>
      <c r="I56" s="2414" t="s">
        <v>2370</v>
      </c>
      <c r="J56" s="2422"/>
      <c r="K56" s="2394" t="s">
        <v>2375</v>
      </c>
      <c r="L56" s="2403">
        <f ca="1">IF(L48&lt;J51,"——",L48-J51)</f>
        <v>0</v>
      </c>
      <c r="O56" s="2431" t="s">
        <v>2388</v>
      </c>
      <c r="P56" s="2432" t="s">
        <v>2389</v>
      </c>
      <c r="Q56" s="2433" t="s">
        <v>2390</v>
      </c>
      <c r="R56" s="2432" t="s">
        <v>2391</v>
      </c>
    </row>
    <row r="57" spans="1:18" s="2067" customFormat="1" ht="28.5" customHeight="1" thickBot="1">
      <c r="A57" s="800" t="s">
        <v>1752</v>
      </c>
      <c r="B57" s="801" t="s">
        <v>652</v>
      </c>
      <c r="C57" s="802">
        <f ca="1">ROUND(C58+C63+C64+C65,0)</f>
        <v>0</v>
      </c>
      <c r="D57" s="26" t="s">
        <v>1754</v>
      </c>
      <c r="E57" s="2677"/>
      <c r="F57" s="56"/>
      <c r="I57" s="2415" t="s">
        <v>2371</v>
      </c>
      <c r="J57" s="2417">
        <f ca="1">IF(OR(M47="住宅",J51&lt;L48,J56="是"),"——",J51-L48)</f>
        <v>0</v>
      </c>
      <c r="K57" s="2394" t="s">
        <v>2376</v>
      </c>
      <c r="L57" s="2403">
        <f ca="1">IF(L48&lt;J51,"——",IF(L55="比较法",L49,IF(L55="基准地价",L50,L51)))</f>
        <v>0</v>
      </c>
      <c r="O57" s="2434" t="s">
        <v>2392</v>
      </c>
      <c r="P57" s="2435" t="s">
        <v>2422</v>
      </c>
      <c r="Q57" s="2436" t="e">
        <f ca="1">C40+J29</f>
        <v>#DIV/0!</v>
      </c>
      <c r="R57" s="2435" t="s">
        <v>2393</v>
      </c>
    </row>
    <row r="58" spans="1:18" s="2067" customFormat="1" ht="28.5" customHeight="1" thickBot="1">
      <c r="A58" s="1655" t="s">
        <v>1829</v>
      </c>
      <c r="B58" s="787" t="s">
        <v>657</v>
      </c>
      <c r="C58" s="53">
        <f ca="1">ROUND(IF(项目基本情况!B11="自然人",C47*F58,C59+C60+C61),1)</f>
        <v>0</v>
      </c>
      <c r="D58" s="2675" t="s">
        <v>658</v>
      </c>
      <c r="E58" s="2676" t="s">
        <v>691</v>
      </c>
      <c r="F58" s="813">
        <f ca="1">IF(项目基本情况!B11="企业","",IF(INDIRECT("'数据-取费表'!c"&amp;$G$1)="住宅",5%,IF(F48*F49*F50/12/(1+'数据-取费表'!C42)&gt;20000,12%,7%)))</f>
        <v>7.0000000000000007E-2</v>
      </c>
      <c r="I58" s="2415" t="s">
        <v>2372</v>
      </c>
      <c r="J58" s="3144" t="e">
        <f ca="1">IF(J55&lt;0.4,0.4,J55)</f>
        <v>#DIV/0!</v>
      </c>
      <c r="K58" s="2394" t="s">
        <v>2377</v>
      </c>
      <c r="L58" s="2403">
        <f ca="1">IF(ISERROR(POWER(1+L52,L47-L48)*(POWER(1+L52,L48)-1)/(POWER(1+L52,L47)-1)),0,POWER(1+L52,L47-L48)*(POWER(1+L52,L48)-1)/(POWER(1+L52,L47)-1))</f>
        <v>0</v>
      </c>
      <c r="O58" s="2434" t="s">
        <v>2394</v>
      </c>
      <c r="P58" s="2435" t="s">
        <v>2425</v>
      </c>
      <c r="Q58" s="2436" t="e">
        <f ca="1">L60</f>
        <v>#DIV/0!</v>
      </c>
      <c r="R58" s="2439" t="s">
        <v>2427</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2373</v>
      </c>
      <c r="J59" s="2417" t="e">
        <f ca="1">IF(OR(M47="住宅",J51&lt;L48,J56="是"),"——",ROUND(C29*J58,0))</f>
        <v>#DIV/0!</v>
      </c>
      <c r="K59" s="2394" t="s">
        <v>2378</v>
      </c>
      <c r="L59" s="2403">
        <f ca="1">IF(ISERROR(POWER(1+L52,L47-J51)*(POWER(1+L52,J51)-1)/(POWER(1+L52,L47)-1)),0,POWER(1+L52,L47-J51)*(POWER(1+L52,J51)-1)/(POWER(1+L52,L47)-1))</f>
        <v>0</v>
      </c>
      <c r="O59" s="2437" t="s">
        <v>2396</v>
      </c>
      <c r="P59" s="2435" t="s">
        <v>2426</v>
      </c>
      <c r="Q59" s="2436">
        <f>IF(L55="比较法",L49,IF(L55="基准地价",L50,0))</f>
        <v>0</v>
      </c>
      <c r="R59" s="2435" t="s">
        <v>2393</v>
      </c>
    </row>
    <row r="60" spans="1:18" s="2067" customFormat="1" ht="18" customHeight="1" thickBot="1">
      <c r="A60" s="1654" t="s">
        <v>1837</v>
      </c>
      <c r="B60" s="787" t="s">
        <v>1762</v>
      </c>
      <c r="C60" s="53">
        <f ca="1">IF(D60="按租金收入计税",ROUND(C47*F60,1),IF(D60="按房产原值计税",ROUND(C56*F60*0.7,1),INDIRECT("'数据-取费表'!Aj"&amp;$G$1)))</f>
        <v>0</v>
      </c>
      <c r="D60" s="2676" t="str">
        <f>D33</f>
        <v>按房产原值计税</v>
      </c>
      <c r="E60" s="787" t="s">
        <v>1751</v>
      </c>
      <c r="F60" s="812">
        <f t="shared" si="0"/>
        <v>1.2E-2</v>
      </c>
      <c r="I60" s="2416" t="s">
        <v>2374</v>
      </c>
      <c r="J60" s="2418" t="e">
        <f ca="1">IF(OR(M47="住宅",J51&lt;L48,J56="是"),"0",ROUND(J59/(1+J52)^J53,0))</f>
        <v>#DIV/0!</v>
      </c>
      <c r="K60" s="2419" t="s">
        <v>2379</v>
      </c>
      <c r="L60" s="2418" t="e">
        <f ca="1">IF(OR(M47="住宅",L48&lt;J51),0,ROUND(L57*(L58/L59-1),0))</f>
        <v>#DIV/0!</v>
      </c>
      <c r="O60" s="2437" t="s">
        <v>2397</v>
      </c>
      <c r="P60" s="2435" t="s">
        <v>2406</v>
      </c>
      <c r="Q60" s="2438">
        <f>L52</f>
        <v>0</v>
      </c>
      <c r="R60" s="2439"/>
    </row>
    <row r="61" spans="1:18" s="2067" customFormat="1" ht="18" customHeight="1" thickBot="1">
      <c r="A61" s="1657" t="s">
        <v>1838</v>
      </c>
      <c r="B61" s="344" t="s">
        <v>669</v>
      </c>
      <c r="C61" s="54">
        <f ca="1">ROUND(F61*F62/10000,1)</f>
        <v>0</v>
      </c>
      <c r="D61" s="817" t="s">
        <v>670</v>
      </c>
      <c r="E61" s="787" t="s">
        <v>671</v>
      </c>
      <c r="F61" s="643">
        <f t="shared" si="0"/>
        <v>1.5</v>
      </c>
      <c r="K61" s="2094"/>
      <c r="O61" s="2437" t="s">
        <v>2399</v>
      </c>
      <c r="P61" s="2435" t="s">
        <v>2407</v>
      </c>
      <c r="Q61" s="2436">
        <f ca="1">L58</f>
        <v>0</v>
      </c>
      <c r="R61" s="2439" t="s">
        <v>2408</v>
      </c>
    </row>
    <row r="62" spans="1:18" s="2067" customFormat="1" ht="20.25" thickBot="1">
      <c r="A62" s="818"/>
      <c r="B62" s="796"/>
      <c r="C62" s="69"/>
      <c r="D62" s="819"/>
      <c r="E62" s="787" t="s">
        <v>675</v>
      </c>
      <c r="F62" s="788">
        <f t="shared" ca="1" si="0"/>
        <v>0</v>
      </c>
      <c r="I62" s="2420" t="s">
        <v>2380</v>
      </c>
      <c r="J62" s="2421" t="s">
        <v>2381</v>
      </c>
      <c r="K62" s="2421" t="s">
        <v>2382</v>
      </c>
      <c r="L62" s="2421" t="s">
        <v>2363</v>
      </c>
      <c r="M62" s="3145" t="s">
        <v>2964</v>
      </c>
      <c r="O62" s="2437" t="s">
        <v>2401</v>
      </c>
      <c r="P62" s="2435" t="s">
        <v>2409</v>
      </c>
      <c r="Q62" s="2436">
        <f ca="1">L59</f>
        <v>0</v>
      </c>
      <c r="R62" s="2439" t="s">
        <v>2410</v>
      </c>
    </row>
    <row r="63" spans="1:18" s="2067" customFormat="1" ht="15.75" thickBot="1">
      <c r="A63" s="1655" t="s">
        <v>1894</v>
      </c>
      <c r="B63" s="787" t="s">
        <v>677</v>
      </c>
      <c r="C63" s="53">
        <f ca="1">ROUND(C56*F63,1)</f>
        <v>0</v>
      </c>
      <c r="D63" s="2676" t="s">
        <v>1807</v>
      </c>
      <c r="E63" s="787" t="s">
        <v>1751</v>
      </c>
      <c r="F63" s="820">
        <f t="shared" ca="1" si="0"/>
        <v>0</v>
      </c>
      <c r="I63" s="2420" t="s">
        <v>2383</v>
      </c>
      <c r="J63" s="2421">
        <v>70</v>
      </c>
      <c r="K63" s="2421">
        <v>50</v>
      </c>
      <c r="L63" s="2421">
        <v>80</v>
      </c>
      <c r="M63" s="3146">
        <v>0.02</v>
      </c>
      <c r="O63" s="2434" t="s">
        <v>2404</v>
      </c>
      <c r="P63" s="2435" t="s">
        <v>2421</v>
      </c>
      <c r="Q63" s="2436" t="e">
        <f ca="1">Q57+Q58</f>
        <v>#DIV/0!</v>
      </c>
      <c r="R63" s="2439" t="s">
        <v>2405</v>
      </c>
    </row>
    <row r="64" spans="1:18" s="2067" customFormat="1" ht="16.5" thickBot="1">
      <c r="A64" s="1655" t="s">
        <v>1895</v>
      </c>
      <c r="B64" s="787" t="s">
        <v>680</v>
      </c>
      <c r="C64" s="53">
        <f ca="1">ROUND(C55*F64,1)</f>
        <v>0</v>
      </c>
      <c r="D64" s="2676" t="s">
        <v>681</v>
      </c>
      <c r="E64" s="787" t="s">
        <v>1751</v>
      </c>
      <c r="F64" s="821">
        <f t="shared" ca="1" si="0"/>
        <v>0</v>
      </c>
      <c r="I64" s="2420" t="s">
        <v>2384</v>
      </c>
      <c r="J64" s="2421">
        <v>50</v>
      </c>
      <c r="K64" s="2421">
        <v>35</v>
      </c>
      <c r="L64" s="2421">
        <v>60</v>
      </c>
      <c r="M64" s="3147">
        <v>0</v>
      </c>
      <c r="O64" s="2440" t="s">
        <v>2428</v>
      </c>
      <c r="P64" s="1598"/>
      <c r="Q64" s="1610"/>
      <c r="R64" s="1598"/>
    </row>
    <row r="65" spans="1:18" s="2067" customFormat="1" ht="15.75" thickBot="1">
      <c r="A65" s="1655" t="s">
        <v>1896</v>
      </c>
      <c r="B65" s="787" t="s">
        <v>667</v>
      </c>
      <c r="C65" s="53">
        <f ca="1">ROUND(C47*F65,1)</f>
        <v>0</v>
      </c>
      <c r="D65" s="2676" t="s">
        <v>684</v>
      </c>
      <c r="E65" s="787" t="s">
        <v>1751</v>
      </c>
      <c r="F65" s="797">
        <f t="shared" ca="1" si="0"/>
        <v>0</v>
      </c>
      <c r="I65" s="2420" t="s">
        <v>2385</v>
      </c>
      <c r="J65" s="2421">
        <v>40</v>
      </c>
      <c r="K65" s="2421">
        <v>30</v>
      </c>
      <c r="L65" s="2421">
        <v>50</v>
      </c>
      <c r="M65" s="3146">
        <v>0.02</v>
      </c>
      <c r="O65" s="2431" t="s">
        <v>2388</v>
      </c>
      <c r="P65" s="2432" t="s">
        <v>2389</v>
      </c>
      <c r="Q65" s="2433" t="s">
        <v>2390</v>
      </c>
      <c r="R65" s="2432" t="s">
        <v>2391</v>
      </c>
    </row>
    <row r="66" spans="1:18" s="2067" customFormat="1" ht="24.75" thickBot="1">
      <c r="A66" s="800" t="s">
        <v>1780</v>
      </c>
      <c r="B66" s="3051" t="s">
        <v>2840</v>
      </c>
      <c r="C66" s="802">
        <f ca="1">C47-C57</f>
        <v>0</v>
      </c>
      <c r="D66" s="2675" t="s">
        <v>702</v>
      </c>
      <c r="E66" s="2674"/>
      <c r="F66" s="823"/>
      <c r="K66" s="2094"/>
      <c r="O66" s="2434" t="s">
        <v>2392</v>
      </c>
      <c r="P66" s="2435" t="s">
        <v>2422</v>
      </c>
      <c r="Q66" s="2436" t="e">
        <f ca="1">C40+J29</f>
        <v>#DIV/0!</v>
      </c>
      <c r="R66" s="2435" t="s">
        <v>2393</v>
      </c>
    </row>
    <row r="67" spans="1:18" s="2067" customFormat="1" ht="20.25" thickBot="1">
      <c r="A67" s="784" t="s">
        <v>1784</v>
      </c>
      <c r="B67" s="2243" t="s">
        <v>2312</v>
      </c>
      <c r="C67" s="786" t="e">
        <f ca="1">ROUND(C66*(1-((1+F69)/(1+F67))^F68)/(F67-F69),0)</f>
        <v>#DIV/0!</v>
      </c>
      <c r="D67" s="817" t="s">
        <v>706</v>
      </c>
      <c r="E67" s="787" t="s">
        <v>707</v>
      </c>
      <c r="F67" s="797">
        <f ca="1">F40</f>
        <v>0</v>
      </c>
      <c r="K67" s="2094"/>
      <c r="O67" s="2434" t="s">
        <v>2394</v>
      </c>
      <c r="P67" s="2435" t="s">
        <v>2425</v>
      </c>
      <c r="Q67" s="2436" t="e">
        <f ca="1">L60</f>
        <v>#DIV/0!</v>
      </c>
      <c r="R67" s="2439" t="s">
        <v>2427</v>
      </c>
    </row>
    <row r="68" spans="1:18" ht="21.75" thickBot="1">
      <c r="A68" s="789"/>
      <c r="B68" s="790"/>
      <c r="C68" s="791"/>
      <c r="D68" s="824" t="s">
        <v>1812</v>
      </c>
      <c r="E68" s="787" t="s">
        <v>1788</v>
      </c>
      <c r="F68" s="825">
        <f ca="1">F41</f>
        <v>0</v>
      </c>
      <c r="O68" s="2437" t="s">
        <v>2396</v>
      </c>
      <c r="P68" s="2435" t="s">
        <v>2426</v>
      </c>
      <c r="Q68" s="2441">
        <f ca="1">L51</f>
        <v>0</v>
      </c>
      <c r="R68" s="2442" t="s">
        <v>2429</v>
      </c>
    </row>
    <row r="69" spans="1:18" ht="20.25" thickBot="1">
      <c r="A69" s="793"/>
      <c r="B69" s="794"/>
      <c r="C69" s="795"/>
      <c r="D69" s="819"/>
      <c r="E69" s="787" t="s">
        <v>712</v>
      </c>
      <c r="F69" s="2382"/>
      <c r="O69" s="2437" t="s">
        <v>2397</v>
      </c>
      <c r="P69" s="2443" t="s">
        <v>2411</v>
      </c>
      <c r="Q69" s="2436">
        <f ca="1">ROUND(Q70-Q71*Q72,0)</f>
        <v>0</v>
      </c>
      <c r="R69" s="2439"/>
    </row>
    <row r="70" spans="1:18" ht="15.75" thickBot="1">
      <c r="A70" s="826" t="s">
        <v>1791</v>
      </c>
      <c r="B70" s="827" t="s">
        <v>1815</v>
      </c>
      <c r="C70" s="828" t="e">
        <f ca="1">ROUND(C67*10000/F70,0)</f>
        <v>#DIV/0!</v>
      </c>
      <c r="D70" s="829" t="s">
        <v>1816</v>
      </c>
      <c r="E70" s="830" t="s">
        <v>1817</v>
      </c>
      <c r="F70" s="831">
        <f ca="1">F43</f>
        <v>0</v>
      </c>
      <c r="O70" s="2437" t="s">
        <v>2412</v>
      </c>
      <c r="P70" s="2443" t="s">
        <v>2413</v>
      </c>
      <c r="Q70" s="2436">
        <f ca="1">C39</f>
        <v>0</v>
      </c>
      <c r="R70" s="2435" t="s">
        <v>2393</v>
      </c>
    </row>
    <row r="71" spans="1:18" ht="15.75" thickBot="1">
      <c r="O71" s="2437" t="s">
        <v>2414</v>
      </c>
      <c r="P71" s="2443" t="s">
        <v>2415</v>
      </c>
      <c r="Q71" s="2436">
        <f ca="1">C13</f>
        <v>0</v>
      </c>
      <c r="R71" s="2435" t="s">
        <v>2393</v>
      </c>
    </row>
    <row r="72" spans="1:18" ht="15.75" thickBot="1">
      <c r="O72" s="2437" t="s">
        <v>2416</v>
      </c>
      <c r="P72" s="2443" t="s">
        <v>2417</v>
      </c>
      <c r="Q72" s="2438">
        <f ca="1">J36</f>
        <v>0</v>
      </c>
      <c r="R72" s="2439"/>
    </row>
    <row r="73" spans="1:18" ht="15.75" thickBot="1">
      <c r="O73" s="2437" t="s">
        <v>2399</v>
      </c>
      <c r="P73" s="2435" t="s">
        <v>2406</v>
      </c>
      <c r="Q73" s="2438">
        <f>L52</f>
        <v>0</v>
      </c>
      <c r="R73" s="2439"/>
    </row>
    <row r="74" spans="1:18" ht="20.25" thickBot="1">
      <c r="O74" s="2437" t="s">
        <v>2401</v>
      </c>
      <c r="P74" s="2435" t="s">
        <v>2407</v>
      </c>
      <c r="Q74" s="2436">
        <f ca="1">L58</f>
        <v>0</v>
      </c>
      <c r="R74" s="2439" t="s">
        <v>2408</v>
      </c>
    </row>
    <row r="75" spans="1:18" ht="20.25" thickBot="1">
      <c r="O75" s="2437" t="s">
        <v>2430</v>
      </c>
      <c r="P75" s="2435" t="s">
        <v>2409</v>
      </c>
      <c r="Q75" s="2436">
        <f ca="1">L59</f>
        <v>0</v>
      </c>
      <c r="R75" s="2439" t="s">
        <v>2410</v>
      </c>
    </row>
    <row r="76" spans="1:18" ht="15.75" thickBot="1">
      <c r="O76" s="2434" t="s">
        <v>2404</v>
      </c>
      <c r="P76" s="2435" t="s">
        <v>2421</v>
      </c>
      <c r="Q76" s="2436" t="e">
        <f ca="1">Q66+Q67</f>
        <v>#DIV/0!</v>
      </c>
      <c r="R76" s="2439" t="s">
        <v>2405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102554.85平方米。根据《建设工程规划许可证》[]、《出让合同》[]，估价对象规划建筑面积为205109.7平方米。</v>
      </c>
    </row>
    <row r="7" spans="1:4" ht="56.25">
      <c r="A7" s="1802" t="s">
        <v>2765</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2017年7月7日（评估专业人员勘察现场之日）</v>
      </c>
    </row>
    <row r="12" spans="1:4" ht="18.75">
      <c r="A12" s="1804" t="s">
        <v>2036</v>
      </c>
    </row>
    <row r="13" spans="1:4" ht="18.75">
      <c r="A13" s="1798" t="s">
        <v>2963</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根据《国有土地使用证》[]，估价对象（分摊）出让国有建设用地使用权面积为102554.85平方米。根据《建设工程规划许可证》[]、《出让合同》[]，估价对象规划建筑面积为205109.7平方米。</v>
      </c>
    </row>
    <row r="21" spans="1:1" ht="18.75">
      <c r="A21" s="1798" t="s">
        <v>2085</v>
      </c>
    </row>
    <row r="22" spans="1:1" ht="93.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5月30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7月7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4" t="s">
        <v>2486</v>
      </c>
      <c r="B1" s="3425"/>
      <c r="C1" s="3426"/>
      <c r="D1" s="3427">
        <f>SUM(I10,I15,I20,I21,I23)</f>
        <v>0</v>
      </c>
      <c r="E1" s="3427"/>
      <c r="F1" s="3427"/>
      <c r="G1" s="3427"/>
      <c r="H1" s="3427"/>
      <c r="I1" s="3428"/>
    </row>
    <row r="2" spans="1:9">
      <c r="A2" s="3414" t="s">
        <v>2487</v>
      </c>
      <c r="B2" s="3415" t="s">
        <v>2488</v>
      </c>
      <c r="C2" s="3415"/>
      <c r="D2" s="2543" t="s">
        <v>2489</v>
      </c>
      <c r="E2" s="2543" t="s">
        <v>2490</v>
      </c>
      <c r="F2" s="2543" t="s">
        <v>2491</v>
      </c>
      <c r="G2" s="2543" t="s">
        <v>2492</v>
      </c>
      <c r="H2" s="2543" t="s">
        <v>2493</v>
      </c>
      <c r="I2" s="2544" t="s">
        <v>2494</v>
      </c>
    </row>
    <row r="3" spans="1:9">
      <c r="A3" s="3414"/>
      <c r="B3" s="3415" t="s">
        <v>2495</v>
      </c>
      <c r="C3" s="3415"/>
      <c r="D3" s="2545"/>
      <c r="E3" s="2543"/>
      <c r="F3" s="2546"/>
      <c r="G3" s="2546"/>
      <c r="H3" s="2547"/>
      <c r="I3" s="2548">
        <f>ROUND(D3*E3*F3*G3*H3/10000,0)</f>
        <v>0</v>
      </c>
    </row>
    <row r="4" spans="1:9">
      <c r="A4" s="3414"/>
      <c r="B4" s="3415" t="s">
        <v>2496</v>
      </c>
      <c r="C4" s="3415"/>
      <c r="D4" s="2545"/>
      <c r="E4" s="2543"/>
      <c r="F4" s="2546"/>
      <c r="G4" s="2546"/>
      <c r="H4" s="2547"/>
      <c r="I4" s="2548">
        <f t="shared" ref="I4:I9" si="0">ROUND(D4*E4*F4*G4*H4/10000,0)</f>
        <v>0</v>
      </c>
    </row>
    <row r="5" spans="1:9">
      <c r="A5" s="3414"/>
      <c r="B5" s="3415" t="s">
        <v>2497</v>
      </c>
      <c r="C5" s="3415"/>
      <c r="D5" s="2545"/>
      <c r="E5" s="2543"/>
      <c r="F5" s="2546"/>
      <c r="G5" s="2546"/>
      <c r="H5" s="2547"/>
      <c r="I5" s="2548">
        <f t="shared" si="0"/>
        <v>0</v>
      </c>
    </row>
    <row r="6" spans="1:9">
      <c r="A6" s="3414"/>
      <c r="B6" s="3415" t="s">
        <v>2498</v>
      </c>
      <c r="C6" s="3415"/>
      <c r="D6" s="2545"/>
      <c r="E6" s="2543"/>
      <c r="F6" s="2546"/>
      <c r="G6" s="2546"/>
      <c r="H6" s="2547"/>
      <c r="I6" s="2548">
        <f t="shared" si="0"/>
        <v>0</v>
      </c>
    </row>
    <row r="7" spans="1:9">
      <c r="A7" s="3414"/>
      <c r="B7" s="3415" t="s">
        <v>2499</v>
      </c>
      <c r="C7" s="3415"/>
      <c r="D7" s="2545"/>
      <c r="E7" s="2543"/>
      <c r="F7" s="2546"/>
      <c r="G7" s="2546"/>
      <c r="H7" s="2547"/>
      <c r="I7" s="2548">
        <f t="shared" si="0"/>
        <v>0</v>
      </c>
    </row>
    <row r="8" spans="1:9">
      <c r="A8" s="3414"/>
      <c r="B8" s="3415" t="s">
        <v>2500</v>
      </c>
      <c r="C8" s="3415"/>
      <c r="D8" s="2545"/>
      <c r="E8" s="2543"/>
      <c r="F8" s="2546"/>
      <c r="G8" s="2546"/>
      <c r="H8" s="2547"/>
      <c r="I8" s="2548">
        <f t="shared" si="0"/>
        <v>0</v>
      </c>
    </row>
    <row r="9" spans="1:9">
      <c r="A9" s="3414"/>
      <c r="B9" s="3415" t="s">
        <v>2501</v>
      </c>
      <c r="C9" s="3415"/>
      <c r="D9" s="2545"/>
      <c r="E9" s="2543"/>
      <c r="F9" s="2546"/>
      <c r="G9" s="2546"/>
      <c r="H9" s="2547"/>
      <c r="I9" s="2548">
        <f t="shared" si="0"/>
        <v>0</v>
      </c>
    </row>
    <row r="10" spans="1:9">
      <c r="A10" s="3414"/>
      <c r="B10" s="3416" t="s">
        <v>2502</v>
      </c>
      <c r="C10" s="3416"/>
      <c r="D10" s="2549">
        <v>527</v>
      </c>
      <c r="E10" s="2549" t="e">
        <f>ROUND(D1*10000/D10/H9,0)</f>
        <v>#DIV/0!</v>
      </c>
      <c r="F10" s="2550"/>
      <c r="G10" s="2550"/>
      <c r="H10" s="2551"/>
      <c r="I10" s="2552">
        <f>SUM(I3:I9)</f>
        <v>0</v>
      </c>
    </row>
    <row r="11" spans="1:9" ht="14.25">
      <c r="A11" s="3414" t="s">
        <v>2503</v>
      </c>
      <c r="B11" s="3415" t="s">
        <v>2504</v>
      </c>
      <c r="C11" s="3415"/>
      <c r="D11" s="2545" t="s">
        <v>2505</v>
      </c>
      <c r="E11" s="2545" t="s">
        <v>2506</v>
      </c>
      <c r="F11" s="2546" t="s">
        <v>2507</v>
      </c>
      <c r="G11" s="2546" t="s">
        <v>2508</v>
      </c>
      <c r="H11" s="2553" t="s">
        <v>2509</v>
      </c>
      <c r="I11" s="2544" t="s">
        <v>2510</v>
      </c>
    </row>
    <row r="12" spans="1:9">
      <c r="A12" s="3414"/>
      <c r="B12" s="3415" t="s">
        <v>2511</v>
      </c>
      <c r="C12" s="3415"/>
      <c r="D12" s="2545"/>
      <c r="E12" s="2545"/>
      <c r="F12" s="2546"/>
      <c r="G12" s="2547"/>
      <c r="H12" s="2554"/>
      <c r="I12" s="2544">
        <f>ROUND(D12*E12*F12*G12/10000,0)</f>
        <v>0</v>
      </c>
    </row>
    <row r="13" spans="1:9">
      <c r="A13" s="3414"/>
      <c r="B13" s="3415" t="s">
        <v>2512</v>
      </c>
      <c r="C13" s="3415"/>
      <c r="D13" s="2545"/>
      <c r="E13" s="2545"/>
      <c r="F13" s="2546"/>
      <c r="G13" s="2547"/>
      <c r="H13" s="2554"/>
      <c r="I13" s="2544">
        <f>ROUND(D13*E13*F13*G13/10000,0)</f>
        <v>0</v>
      </c>
    </row>
    <row r="14" spans="1:9">
      <c r="A14" s="3414"/>
      <c r="B14" s="3415" t="s">
        <v>2513</v>
      </c>
      <c r="C14" s="3415"/>
      <c r="D14" s="2545"/>
      <c r="E14" s="2545"/>
      <c r="F14" s="2546"/>
      <c r="G14" s="2547"/>
      <c r="H14" s="2554"/>
      <c r="I14" s="2544">
        <f>ROUND(D14*E14*F14*G14/10000,0)</f>
        <v>0</v>
      </c>
    </row>
    <row r="15" spans="1:9">
      <c r="A15" s="3414"/>
      <c r="B15" s="3416" t="s">
        <v>2502</v>
      </c>
      <c r="C15" s="3416"/>
      <c r="D15" s="2549"/>
      <c r="E15" s="2549">
        <f>SUM(E12:E14)</f>
        <v>0</v>
      </c>
      <c r="F15" s="2550"/>
      <c r="G15" s="2547"/>
      <c r="H15" s="2554"/>
      <c r="I15" s="2555">
        <f>SUM(I12:I14)</f>
        <v>0</v>
      </c>
    </row>
    <row r="16" spans="1:9" ht="24">
      <c r="A16" s="3414" t="s">
        <v>2514</v>
      </c>
      <c r="B16" s="3415" t="s">
        <v>2515</v>
      </c>
      <c r="C16" s="3415"/>
      <c r="D16" s="2545" t="s">
        <v>2516</v>
      </c>
      <c r="E16" s="2556" t="s">
        <v>2517</v>
      </c>
      <c r="F16" s="2546" t="s">
        <v>2518</v>
      </c>
      <c r="G16" s="2547" t="s">
        <v>2508</v>
      </c>
      <c r="H16" s="2553" t="s">
        <v>2509</v>
      </c>
      <c r="I16" s="2544" t="s">
        <v>2510</v>
      </c>
    </row>
    <row r="17" spans="1:9" ht="14.25">
      <c r="A17" s="3414"/>
      <c r="B17" s="3415" t="s">
        <v>2519</v>
      </c>
      <c r="C17" s="3415"/>
      <c r="D17" s="2545"/>
      <c r="E17" s="2545"/>
      <c r="F17" s="2546"/>
      <c r="G17" s="2547"/>
      <c r="H17" s="2557"/>
      <c r="I17" s="2558">
        <f>ROUND(D17*E17*F17*G17/10000,0)</f>
        <v>0</v>
      </c>
    </row>
    <row r="18" spans="1:9" ht="14.25">
      <c r="A18" s="3414"/>
      <c r="B18" s="3415" t="s">
        <v>2520</v>
      </c>
      <c r="C18" s="3415"/>
      <c r="D18" s="2545"/>
      <c r="E18" s="2545"/>
      <c r="F18" s="2546"/>
      <c r="G18" s="2547"/>
      <c r="H18" s="2557"/>
      <c r="I18" s="2558">
        <f>ROUND(D18*E18*F18*G18/10000,0)</f>
        <v>0</v>
      </c>
    </row>
    <row r="19" spans="1:9" ht="14.25">
      <c r="A19" s="3414"/>
      <c r="B19" s="3415" t="s">
        <v>2521</v>
      </c>
      <c r="C19" s="3415"/>
      <c r="D19" s="2545"/>
      <c r="E19" s="2545"/>
      <c r="F19" s="2546"/>
      <c r="G19" s="2547"/>
      <c r="H19" s="2557"/>
      <c r="I19" s="2558">
        <f>ROUND(D19*E19*F19*G19/10000,0)</f>
        <v>0</v>
      </c>
    </row>
    <row r="20" spans="1:9">
      <c r="A20" s="3414"/>
      <c r="B20" s="3416" t="s">
        <v>2502</v>
      </c>
      <c r="C20" s="3416"/>
      <c r="D20" s="2549">
        <f>SUM(D17:D19)</f>
        <v>0</v>
      </c>
      <c r="E20" s="2549"/>
      <c r="F20" s="2550"/>
      <c r="G20" s="2547"/>
      <c r="H20" s="2554"/>
      <c r="I20" s="2555">
        <f>SUM(I17:I19)</f>
        <v>0</v>
      </c>
    </row>
    <row r="21" spans="1:9">
      <c r="A21" s="3414" t="s">
        <v>2522</v>
      </c>
      <c r="B21" s="3417"/>
      <c r="C21" s="3417"/>
      <c r="D21" s="3417"/>
      <c r="E21" s="3417"/>
      <c r="F21" s="3417"/>
      <c r="G21" s="3417"/>
      <c r="H21" s="2559">
        <v>0.1</v>
      </c>
      <c r="I21" s="2552">
        <f>ROUND(I10*H21,0)</f>
        <v>0</v>
      </c>
    </row>
    <row r="22" spans="1:9" ht="14.25">
      <c r="A22" s="3418" t="s">
        <v>2523</v>
      </c>
      <c r="B22" s="3419"/>
      <c r="C22" s="3420"/>
      <c r="D22" s="2560" t="s">
        <v>2524</v>
      </c>
      <c r="E22" s="2560" t="s">
        <v>2525</v>
      </c>
      <c r="F22" s="2561" t="s">
        <v>2526</v>
      </c>
      <c r="G22" s="2561" t="s">
        <v>2527</v>
      </c>
      <c r="H22" s="2553" t="s">
        <v>2528</v>
      </c>
      <c r="I22" s="2544" t="s">
        <v>2529</v>
      </c>
    </row>
    <row r="23" spans="1:9" ht="14.25" thickBot="1">
      <c r="A23" s="3421"/>
      <c r="B23" s="3422"/>
      <c r="C23" s="3423"/>
      <c r="D23" s="2562"/>
      <c r="E23" s="2562"/>
      <c r="F23" s="2562"/>
      <c r="G23" s="2563"/>
      <c r="H23" s="2564"/>
      <c r="I23" s="2565">
        <f>ROUND(E23*D23*F23*(1-G23)/10000,0)</f>
        <v>0</v>
      </c>
    </row>
    <row r="26" spans="1:9">
      <c r="A26" s="2566" t="s">
        <v>2530</v>
      </c>
      <c r="B26" s="2566"/>
      <c r="C26" s="2566"/>
      <c r="D26" s="2566"/>
      <c r="E26" s="3411">
        <f>C27-C30-C31-C32</f>
        <v>0</v>
      </c>
      <c r="F26" s="3411"/>
      <c r="G26" s="3411"/>
      <c r="H26" s="3084" t="s">
        <v>2861</v>
      </c>
    </row>
    <row r="27" spans="1:9">
      <c r="A27" s="2567">
        <v>1</v>
      </c>
      <c r="B27" s="2568" t="s">
        <v>2531</v>
      </c>
      <c r="C27" s="2568"/>
      <c r="D27" s="2568"/>
      <c r="E27" s="3412"/>
      <c r="F27" s="3412"/>
      <c r="G27" s="3412"/>
    </row>
    <row r="28" spans="1:9">
      <c r="A28" s="2569" t="s">
        <v>2532</v>
      </c>
      <c r="B28" s="2568" t="s">
        <v>2533</v>
      </c>
      <c r="C28" s="2568"/>
      <c r="D28" s="2568"/>
      <c r="E28" s="3412"/>
      <c r="F28" s="3412"/>
      <c r="G28" s="3412"/>
    </row>
    <row r="29" spans="1:9">
      <c r="A29" s="2569" t="s">
        <v>2534</v>
      </c>
      <c r="B29" s="2568" t="s">
        <v>2474</v>
      </c>
      <c r="C29" s="2568"/>
      <c r="D29" s="2568"/>
      <c r="E29" s="2568" t="s">
        <v>2535</v>
      </c>
      <c r="F29" s="2568"/>
      <c r="G29" s="2568"/>
    </row>
    <row r="30" spans="1:9">
      <c r="A30" s="2567">
        <v>2</v>
      </c>
      <c r="B30" s="2568" t="s">
        <v>2536</v>
      </c>
      <c r="C30" s="2568">
        <f>C27*D30</f>
        <v>0</v>
      </c>
      <c r="D30" s="2570">
        <v>0.2</v>
      </c>
      <c r="E30" s="2568" t="s">
        <v>2537</v>
      </c>
      <c r="F30" s="2568"/>
      <c r="G30" s="2568"/>
    </row>
    <row r="31" spans="1:9">
      <c r="A31" s="2567">
        <v>3</v>
      </c>
      <c r="B31" s="2568" t="s">
        <v>2538</v>
      </c>
      <c r="C31" s="2568">
        <f>C25*D31</f>
        <v>0</v>
      </c>
      <c r="D31" s="2570">
        <v>0.15</v>
      </c>
      <c r="E31" s="2568" t="s">
        <v>2539</v>
      </c>
      <c r="F31" s="2568"/>
      <c r="G31" s="2568"/>
    </row>
    <row r="32" spans="1:9">
      <c r="A32" s="2567">
        <v>4</v>
      </c>
      <c r="B32" s="2568" t="s">
        <v>2540</v>
      </c>
      <c r="C32" s="2568">
        <f>C27*D32</f>
        <v>0</v>
      </c>
      <c r="D32" s="2570">
        <v>0.05</v>
      </c>
      <c r="E32" s="3413"/>
      <c r="F32" s="3413"/>
      <c r="G32" s="3413"/>
    </row>
    <row r="33" spans="1:7" hidden="1">
      <c r="A33" s="3408" t="s">
        <v>2541</v>
      </c>
      <c r="B33" s="3409"/>
      <c r="C33" s="3409"/>
      <c r="D33" s="3410"/>
      <c r="E33" s="3411"/>
      <c r="F33" s="3411"/>
      <c r="G33" s="3411"/>
    </row>
    <row r="34" spans="1:7" hidden="1">
      <c r="A34" s="2571">
        <v>1</v>
      </c>
      <c r="B34" s="2568" t="s">
        <v>2542</v>
      </c>
      <c r="C34" s="2568"/>
      <c r="D34" s="2568"/>
      <c r="E34" s="3412"/>
      <c r="F34" s="3412"/>
      <c r="G34" s="3412"/>
    </row>
    <row r="35" spans="1:7" hidden="1">
      <c r="A35" s="2571">
        <v>2</v>
      </c>
      <c r="B35" s="2568" t="s">
        <v>2543</v>
      </c>
      <c r="C35" s="2568"/>
      <c r="D35" s="2568"/>
      <c r="E35" s="3412"/>
      <c r="F35" s="3412"/>
      <c r="G35" s="3412"/>
    </row>
    <row r="36" spans="1:7" hidden="1">
      <c r="A36" s="2571">
        <v>3</v>
      </c>
      <c r="B36" s="2568" t="s">
        <v>2544</v>
      </c>
      <c r="C36" s="2568"/>
      <c r="D36" s="2568"/>
      <c r="E36" s="3412"/>
      <c r="F36" s="3412"/>
      <c r="G36" s="3412"/>
    </row>
    <row r="37" spans="1:7" hidden="1">
      <c r="A37" s="2571">
        <v>4</v>
      </c>
      <c r="B37" s="2568" t="s">
        <v>2545</v>
      </c>
      <c r="C37" s="2568"/>
      <c r="D37" s="2568"/>
      <c r="E37" s="3412"/>
      <c r="F37" s="3412"/>
      <c r="G37" s="3412"/>
    </row>
    <row r="38" spans="1:7" hidden="1">
      <c r="A38" s="3408" t="s">
        <v>2546</v>
      </c>
      <c r="B38" s="3409"/>
      <c r="C38" s="3409"/>
      <c r="D38" s="3410"/>
      <c r="E38" s="3411"/>
      <c r="F38" s="3411"/>
      <c r="G38" s="34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2453</v>
      </c>
      <c r="B8" s="2508" t="s">
        <v>2455</v>
      </c>
      <c r="C8" s="2509"/>
      <c r="D8" s="752"/>
      <c r="E8" s="753"/>
      <c r="F8" s="753"/>
      <c r="G8" s="754"/>
    </row>
    <row r="9" spans="1:25" s="2194" customFormat="1" ht="13.5" customHeight="1">
      <c r="A9" s="2505" t="s">
        <v>2454</v>
      </c>
      <c r="B9" s="2508" t="s">
        <v>2456</v>
      </c>
      <c r="C9" s="2509"/>
      <c r="D9" s="752"/>
      <c r="E9" s="753"/>
      <c r="F9" s="753"/>
      <c r="G9" s="754"/>
    </row>
    <row r="10" spans="1:25" s="2194" customFormat="1" ht="36">
      <c r="A10" s="2505">
        <v>2</v>
      </c>
      <c r="B10" s="751" t="s">
        <v>614</v>
      </c>
      <c r="C10" s="752">
        <f>C11+C14+C15</f>
        <v>0</v>
      </c>
      <c r="D10" s="763">
        <f>'数据-汇总表'!E3</f>
        <v>205109.7</v>
      </c>
      <c r="E10" s="752">
        <f>'数据-取费表'!B31</f>
        <v>20</v>
      </c>
      <c r="F10" s="764"/>
      <c r="G10" s="762" t="s">
        <v>615</v>
      </c>
    </row>
    <row r="11" spans="1:25" s="2194" customFormat="1" ht="13.5" customHeight="1">
      <c r="A11" s="2505" t="s">
        <v>2453</v>
      </c>
      <c r="B11" s="755" t="s">
        <v>611</v>
      </c>
      <c r="C11" s="756">
        <f>'数据-取费表'!B29</f>
        <v>0</v>
      </c>
      <c r="D11" s="757"/>
      <c r="E11" s="756"/>
      <c r="F11" s="758"/>
      <c r="G11" s="2514" t="s">
        <v>2464</v>
      </c>
    </row>
    <row r="12" spans="1:25" s="2194" customFormat="1" ht="13.5" customHeight="1">
      <c r="A12" s="2512" t="s">
        <v>2461</v>
      </c>
      <c r="B12" s="759" t="s">
        <v>612</v>
      </c>
      <c r="C12" s="760">
        <f>ROUND(D12*E12/10000,0)</f>
        <v>0</v>
      </c>
      <c r="D12" s="761">
        <f>'数据-汇总表'!E5</f>
        <v>0</v>
      </c>
      <c r="E12" s="760">
        <f>'数据-取费表'!B27</f>
        <v>0</v>
      </c>
      <c r="F12" s="758"/>
      <c r="G12" s="762"/>
    </row>
    <row r="13" spans="1:25" s="2194" customFormat="1" ht="13.5" customHeight="1">
      <c r="A13" s="2512" t="s">
        <v>2460</v>
      </c>
      <c r="B13" s="759" t="s">
        <v>613</v>
      </c>
      <c r="C13" s="760">
        <f>ROUND(D13*E13/10000,0)</f>
        <v>0</v>
      </c>
      <c r="D13" s="761">
        <f>'数据-汇总表'!E6</f>
        <v>205109.7</v>
      </c>
      <c r="E13" s="760">
        <f>'数据-取费表'!B28</f>
        <v>0</v>
      </c>
      <c r="F13" s="758"/>
      <c r="G13" s="762"/>
    </row>
    <row r="14" spans="1:25" s="2194" customFormat="1" ht="13.5" customHeight="1">
      <c r="A14" s="2505" t="s">
        <v>2454</v>
      </c>
      <c r="B14" s="2511" t="s">
        <v>2457</v>
      </c>
      <c r="C14" s="2509"/>
      <c r="D14" s="761"/>
      <c r="E14" s="760"/>
      <c r="F14" s="2510"/>
      <c r="G14" s="2513" t="s">
        <v>2462</v>
      </c>
    </row>
    <row r="15" spans="1:25" s="2194" customFormat="1" ht="13.5" customHeight="1">
      <c r="A15" s="2505" t="s">
        <v>2459</v>
      </c>
      <c r="B15" s="2511" t="s">
        <v>2458</v>
      </c>
      <c r="C15" s="2509"/>
      <c r="D15" s="761"/>
      <c r="E15" s="760"/>
      <c r="F15" s="2510"/>
      <c r="G15" s="2513" t="s">
        <v>2463</v>
      </c>
    </row>
    <row r="16" spans="1:25" s="2195" customFormat="1" ht="48">
      <c r="A16" s="2505">
        <v>3</v>
      </c>
      <c r="B16" s="751" t="s">
        <v>616</v>
      </c>
      <c r="C16" s="2509"/>
      <c r="D16" s="763"/>
      <c r="E16" s="752"/>
      <c r="F16" s="764"/>
      <c r="G16" s="762" t="s">
        <v>2465</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4.3499999999999997E-2</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0.2</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0.93600000000000005</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41" t="s">
        <v>523</v>
      </c>
      <c r="D4" s="3342"/>
      <c r="E4" s="3365" t="s">
        <v>524</v>
      </c>
      <c r="F4" s="3366"/>
      <c r="G4" s="3341" t="s">
        <v>525</v>
      </c>
      <c r="H4" s="3342"/>
      <c r="I4" s="3341" t="s">
        <v>526</v>
      </c>
      <c r="J4" s="3342"/>
      <c r="K4" s="856" t="s">
        <v>527</v>
      </c>
      <c r="L4" s="2144"/>
      <c r="M4" s="2145"/>
      <c r="N4" s="2145"/>
      <c r="O4" s="2145"/>
      <c r="P4" s="3343" t="s">
        <v>528</v>
      </c>
      <c r="Q4" s="3344"/>
      <c r="R4" s="3329" t="s">
        <v>524</v>
      </c>
      <c r="S4" s="3330"/>
      <c r="T4" s="3329" t="s">
        <v>525</v>
      </c>
      <c r="U4" s="3330"/>
      <c r="V4" s="3349" t="s">
        <v>526</v>
      </c>
      <c r="W4" s="3349"/>
      <c r="X4" s="1573"/>
      <c r="Y4" s="3329" t="s">
        <v>528</v>
      </c>
      <c r="Z4" s="3330"/>
      <c r="AA4" s="3324" t="s">
        <v>524</v>
      </c>
      <c r="AB4" s="3324" t="s">
        <v>525</v>
      </c>
      <c r="AC4" s="3324" t="s">
        <v>526</v>
      </c>
    </row>
    <row r="5" spans="1:29" ht="15">
      <c r="A5" s="518"/>
      <c r="B5" s="519"/>
      <c r="C5" s="3352" t="s">
        <v>2949</v>
      </c>
      <c r="D5" s="3353"/>
      <c r="E5" s="3367" t="s">
        <v>2950</v>
      </c>
      <c r="F5" s="3368"/>
      <c r="G5" s="3352" t="s">
        <v>2951</v>
      </c>
      <c r="H5" s="3353"/>
      <c r="I5" s="3352" t="s">
        <v>2952</v>
      </c>
      <c r="J5" s="3353"/>
      <c r="K5" s="85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85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42923</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27" t="s">
        <v>531</v>
      </c>
      <c r="Q7" s="3336"/>
      <c r="R7" s="1574" t="s">
        <v>13</v>
      </c>
      <c r="S7" s="1575">
        <f t="shared" ref="S7:S15" si="0">F7</f>
        <v>0</v>
      </c>
      <c r="T7" s="1574" t="s">
        <v>13</v>
      </c>
      <c r="U7" s="1575">
        <f t="shared" ref="U7:U15" si="1">H7</f>
        <v>0</v>
      </c>
      <c r="V7" s="1574" t="s">
        <v>13</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27" t="s">
        <v>534</v>
      </c>
      <c r="Q8" s="3328"/>
      <c r="R8" s="1574" t="s">
        <v>13</v>
      </c>
      <c r="S8" s="1575">
        <f t="shared" si="0"/>
        <v>0</v>
      </c>
      <c r="T8" s="1574" t="s">
        <v>13</v>
      </c>
      <c r="U8" s="1575">
        <f t="shared" si="1"/>
        <v>0</v>
      </c>
      <c r="V8" s="1574" t="s">
        <v>13</v>
      </c>
      <c r="W8" s="1575">
        <f t="shared" si="2"/>
        <v>0</v>
      </c>
      <c r="X8" s="1576"/>
      <c r="Y8" s="3327" t="s">
        <v>534</v>
      </c>
      <c r="Z8" s="332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35"/>
      <c r="Q11" s="1154" t="str">
        <f t="shared" si="6"/>
        <v>容积率</v>
      </c>
      <c r="R11" s="1574" t="s">
        <v>11</v>
      </c>
      <c r="S11" s="1575" t="e">
        <f t="shared" si="0"/>
        <v>#N/A</v>
      </c>
      <c r="T11" s="1574" t="s">
        <v>11</v>
      </c>
      <c r="U11" s="1575" t="e">
        <f t="shared" si="1"/>
        <v>#N/A</v>
      </c>
      <c r="V11" s="1574" t="s">
        <v>11</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35"/>
      <c r="Q12" s="1154">
        <f t="shared" si="6"/>
        <v>111</v>
      </c>
      <c r="R12" s="1574" t="s">
        <v>11</v>
      </c>
      <c r="S12" s="1575">
        <f t="shared" si="0"/>
        <v>100</v>
      </c>
      <c r="T12" s="1574" t="s">
        <v>11</v>
      </c>
      <c r="U12" s="1575">
        <f t="shared" si="1"/>
        <v>100</v>
      </c>
      <c r="V12" s="1574" t="s">
        <v>11</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35"/>
      <c r="Q13" s="1154">
        <f t="shared" si="6"/>
        <v>111</v>
      </c>
      <c r="R13" s="1574" t="s">
        <v>11</v>
      </c>
      <c r="S13" s="1575">
        <f t="shared" si="0"/>
        <v>100</v>
      </c>
      <c r="T13" s="1574" t="s">
        <v>11</v>
      </c>
      <c r="U13" s="1575">
        <f t="shared" si="1"/>
        <v>100</v>
      </c>
      <c r="V13" s="1574" t="s">
        <v>11</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35"/>
      <c r="Q14" s="1154">
        <f t="shared" si="6"/>
        <v>111</v>
      </c>
      <c r="R14" s="1574" t="s">
        <v>11</v>
      </c>
      <c r="S14" s="1575">
        <f t="shared" si="0"/>
        <v>100</v>
      </c>
      <c r="T14" s="1574" t="s">
        <v>11</v>
      </c>
      <c r="U14" s="1575">
        <f t="shared" si="1"/>
        <v>100</v>
      </c>
      <c r="V14" s="1574" t="s">
        <v>11</v>
      </c>
      <c r="W14" s="1575">
        <f t="shared" si="2"/>
        <v>100</v>
      </c>
      <c r="X14" s="1576"/>
      <c r="Y14" s="3292"/>
      <c r="Z14" s="1153">
        <f t="shared" si="7"/>
        <v>111</v>
      </c>
      <c r="AA14" s="1577">
        <f t="shared" si="3"/>
        <v>1</v>
      </c>
      <c r="AB14" s="1577">
        <f t="shared" si="4"/>
        <v>1</v>
      </c>
      <c r="AC14" s="1577">
        <f t="shared" si="5"/>
        <v>1</v>
      </c>
    </row>
    <row r="15" spans="1:29" ht="99.75">
      <c r="A15" s="2950" t="s">
        <v>2772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37" t="s">
        <v>541</v>
      </c>
      <c r="Q15" s="1578" t="str">
        <f t="shared" si="6"/>
        <v>居住社区成熟度</v>
      </c>
      <c r="R15" s="1579" t="s">
        <v>11</v>
      </c>
      <c r="S15" s="1580">
        <f t="shared" si="0"/>
        <v>100</v>
      </c>
      <c r="T15" s="1579" t="s">
        <v>11</v>
      </c>
      <c r="U15" s="1580">
        <f t="shared" si="1"/>
        <v>100</v>
      </c>
      <c r="V15" s="1579" t="s">
        <v>11</v>
      </c>
      <c r="W15" s="1580">
        <f t="shared" si="2"/>
        <v>100</v>
      </c>
      <c r="X15" s="1573"/>
      <c r="Y15" s="3337"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38"/>
      <c r="Q16" s="1578"/>
      <c r="R16" s="1579"/>
      <c r="S16" s="1580"/>
      <c r="T16" s="1579"/>
      <c r="U16" s="1580"/>
      <c r="V16" s="1579"/>
      <c r="W16" s="1580"/>
      <c r="X16" s="1573"/>
      <c r="Y16" s="3338"/>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38"/>
      <c r="Q17" s="1578" t="str">
        <f>B17</f>
        <v>交通便捷度</v>
      </c>
      <c r="R17" s="1579" t="s">
        <v>11</v>
      </c>
      <c r="S17" s="1580">
        <f>F17</f>
        <v>100</v>
      </c>
      <c r="T17" s="1579" t="s">
        <v>11</v>
      </c>
      <c r="U17" s="1580">
        <f>H17</f>
        <v>100</v>
      </c>
      <c r="V17" s="1579" t="s">
        <v>11</v>
      </c>
      <c r="W17" s="1580">
        <f>J17</f>
        <v>100</v>
      </c>
      <c r="X17" s="1573"/>
      <c r="Y17" s="333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38"/>
      <c r="Q18" s="1578"/>
      <c r="R18" s="1579"/>
      <c r="S18" s="1580"/>
      <c r="T18" s="1579"/>
      <c r="U18" s="1580"/>
      <c r="V18" s="1579"/>
      <c r="W18" s="1580"/>
      <c r="X18" s="1573"/>
      <c r="Y18" s="3338"/>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38"/>
      <c r="Q19" s="1578" t="str">
        <f>B19</f>
        <v>公共配套设施</v>
      </c>
      <c r="R19" s="1579" t="s">
        <v>11</v>
      </c>
      <c r="S19" s="1580">
        <f>F19</f>
        <v>100</v>
      </c>
      <c r="T19" s="1579" t="s">
        <v>11</v>
      </c>
      <c r="U19" s="1580">
        <f>H19</f>
        <v>100</v>
      </c>
      <c r="V19" s="1579" t="s">
        <v>11</v>
      </c>
      <c r="W19" s="1580">
        <f>J19</f>
        <v>100</v>
      </c>
      <c r="X19" s="1573"/>
      <c r="Y19" s="3338"/>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38"/>
      <c r="Q21" s="2615" t="str">
        <f>B21</f>
        <v>基础设施水平</v>
      </c>
      <c r="R21" s="1579" t="s">
        <v>11</v>
      </c>
      <c r="S21" s="1580">
        <f>F21</f>
        <v>100</v>
      </c>
      <c r="T21" s="1579" t="s">
        <v>11</v>
      </c>
      <c r="U21" s="1580">
        <f>H21</f>
        <v>100</v>
      </c>
      <c r="V21" s="1579" t="s">
        <v>11</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38"/>
      <c r="Q22" s="2615"/>
      <c r="R22" s="1579"/>
      <c r="S22" s="1580"/>
      <c r="T22" s="1579"/>
      <c r="U22" s="1580"/>
      <c r="V22" s="1579"/>
      <c r="W22" s="1580"/>
      <c r="X22" s="2617"/>
      <c r="Y22" s="3338"/>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38"/>
      <c r="Q23" s="1578" t="str">
        <f>B23</f>
        <v>自然及人文环境</v>
      </c>
      <c r="R23" s="1579" t="s">
        <v>11</v>
      </c>
      <c r="S23" s="1580">
        <f>F23</f>
        <v>100</v>
      </c>
      <c r="T23" s="1579" t="s">
        <v>11</v>
      </c>
      <c r="U23" s="1580">
        <f>H23</f>
        <v>100</v>
      </c>
      <c r="V23" s="1579" t="s">
        <v>11</v>
      </c>
      <c r="W23" s="1580">
        <f>J23</f>
        <v>100</v>
      </c>
      <c r="X23" s="1573"/>
      <c r="Y23" s="3338"/>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38"/>
      <c r="Q24" s="1578"/>
      <c r="R24" s="1579"/>
      <c r="S24" s="1580"/>
      <c r="T24" s="1579"/>
      <c r="U24" s="1580"/>
      <c r="V24" s="1579"/>
      <c r="W24" s="1580"/>
      <c r="X24" s="1573"/>
      <c r="Y24" s="3338"/>
      <c r="Z24" s="1581"/>
      <c r="AA24" s="1582">
        <v>1</v>
      </c>
      <c r="AB24" s="1582">
        <v>1</v>
      </c>
      <c r="AC24" s="1582">
        <v>1</v>
      </c>
    </row>
    <row r="25" spans="1:29" ht="15">
      <c r="A25" s="535"/>
      <c r="B25" s="1902" t="s">
        <v>2267</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38"/>
      <c r="Q25" s="1578" t="str">
        <f t="shared" ref="Q25:Q46" si="11">B25</f>
        <v>楼层-1</v>
      </c>
      <c r="R25" s="1579" t="s">
        <v>11</v>
      </c>
      <c r="S25" s="1580">
        <f>F25</f>
        <v>100</v>
      </c>
      <c r="T25" s="1579" t="s">
        <v>11</v>
      </c>
      <c r="U25" s="1580">
        <f>H25</f>
        <v>100</v>
      </c>
      <c r="V25" s="1579" t="s">
        <v>11</v>
      </c>
      <c r="W25" s="1580">
        <f>J25</f>
        <v>100</v>
      </c>
      <c r="X25" s="1573"/>
      <c r="Y25" s="3338"/>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38"/>
      <c r="Q26" s="1578" t="str">
        <f t="shared" si="11"/>
        <v>朝向</v>
      </c>
      <c r="R26" s="1579" t="s">
        <v>11</v>
      </c>
      <c r="S26" s="1580">
        <f>F26</f>
        <v>100</v>
      </c>
      <c r="T26" s="1579" t="s">
        <v>11</v>
      </c>
      <c r="U26" s="1580">
        <f>H26</f>
        <v>100</v>
      </c>
      <c r="V26" s="1579" t="s">
        <v>11</v>
      </c>
      <c r="W26" s="1580">
        <f>J26</f>
        <v>100</v>
      </c>
      <c r="X26" s="1573"/>
      <c r="Y26" s="3338"/>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38"/>
      <c r="Q27" s="1154" t="str">
        <f t="shared" si="11"/>
        <v>道路级别</v>
      </c>
      <c r="R27" s="1574" t="s">
        <v>11</v>
      </c>
      <c r="S27" s="1575">
        <f>F27</f>
        <v>100</v>
      </c>
      <c r="T27" s="1574" t="s">
        <v>11</v>
      </c>
      <c r="U27" s="1575">
        <f>H27</f>
        <v>100</v>
      </c>
      <c r="V27" s="1574" t="s">
        <v>11</v>
      </c>
      <c r="W27" s="1575">
        <f>J27</f>
        <v>100</v>
      </c>
      <c r="X27" s="1576"/>
      <c r="Y27" s="3338"/>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38"/>
      <c r="Q28" s="1578">
        <f t="shared" si="11"/>
        <v>111</v>
      </c>
      <c r="R28" s="1579" t="s">
        <v>11</v>
      </c>
      <c r="S28" s="1580">
        <f t="shared" ref="S28:S46" si="12">F28</f>
        <v>100</v>
      </c>
      <c r="T28" s="1579" t="s">
        <v>11</v>
      </c>
      <c r="U28" s="1580">
        <f t="shared" ref="U28:U46" si="13">H28</f>
        <v>100</v>
      </c>
      <c r="V28" s="1579" t="s">
        <v>11</v>
      </c>
      <c r="W28" s="1580">
        <f t="shared" ref="W28:W46" si="14">J28</f>
        <v>100</v>
      </c>
      <c r="X28" s="1573"/>
      <c r="Y28" s="3338"/>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38"/>
      <c r="Q29" s="1578">
        <f t="shared" si="11"/>
        <v>111</v>
      </c>
      <c r="R29" s="1579" t="s">
        <v>11</v>
      </c>
      <c r="S29" s="1580">
        <f t="shared" si="12"/>
        <v>100</v>
      </c>
      <c r="T29" s="1579" t="s">
        <v>11</v>
      </c>
      <c r="U29" s="1580">
        <f t="shared" si="13"/>
        <v>100</v>
      </c>
      <c r="V29" s="1579" t="s">
        <v>11</v>
      </c>
      <c r="W29" s="1580">
        <f t="shared" si="14"/>
        <v>100</v>
      </c>
      <c r="X29" s="1573"/>
      <c r="Y29" s="3338"/>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38"/>
      <c r="Q30" s="1578">
        <f t="shared" si="11"/>
        <v>111</v>
      </c>
      <c r="R30" s="1579" t="s">
        <v>11</v>
      </c>
      <c r="S30" s="1580">
        <f t="shared" si="12"/>
        <v>100</v>
      </c>
      <c r="T30" s="1579" t="s">
        <v>11</v>
      </c>
      <c r="U30" s="1580">
        <f t="shared" si="13"/>
        <v>100</v>
      </c>
      <c r="V30" s="1579" t="s">
        <v>11</v>
      </c>
      <c r="W30" s="1580">
        <f t="shared" si="14"/>
        <v>100</v>
      </c>
      <c r="X30" s="1573"/>
      <c r="Y30" s="3338"/>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38"/>
      <c r="Q31" s="1578">
        <f t="shared" si="11"/>
        <v>111</v>
      </c>
      <c r="R31" s="1579" t="s">
        <v>11</v>
      </c>
      <c r="S31" s="1580">
        <f t="shared" si="12"/>
        <v>100</v>
      </c>
      <c r="T31" s="1579" t="s">
        <v>11</v>
      </c>
      <c r="U31" s="1580">
        <f t="shared" si="13"/>
        <v>100</v>
      </c>
      <c r="V31" s="1579" t="s">
        <v>11</v>
      </c>
      <c r="W31" s="1580">
        <f t="shared" si="14"/>
        <v>100</v>
      </c>
      <c r="X31" s="1573"/>
      <c r="Y31" s="3338"/>
      <c r="Z31" s="1581">
        <f t="shared" si="15"/>
        <v>111</v>
      </c>
      <c r="AA31" s="1582">
        <f t="shared" si="3"/>
        <v>1</v>
      </c>
      <c r="AB31" s="1582">
        <f t="shared" si="4"/>
        <v>1</v>
      </c>
      <c r="AC31" s="1582">
        <f t="shared" si="5"/>
        <v>1</v>
      </c>
    </row>
    <row r="32" spans="1:29" ht="15">
      <c r="A32" s="2947" t="s">
        <v>2773</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39" t="s">
        <v>551</v>
      </c>
      <c r="Q32" s="1578" t="str">
        <f t="shared" si="11"/>
        <v>建筑类型</v>
      </c>
      <c r="R32" s="1579" t="s">
        <v>11</v>
      </c>
      <c r="S32" s="1580">
        <f t="shared" si="12"/>
        <v>100</v>
      </c>
      <c r="T32" s="1579" t="s">
        <v>11</v>
      </c>
      <c r="U32" s="1580">
        <f t="shared" si="13"/>
        <v>100</v>
      </c>
      <c r="V32" s="1579" t="s">
        <v>11</v>
      </c>
      <c r="W32" s="1580">
        <f t="shared" si="14"/>
        <v>100</v>
      </c>
      <c r="X32" s="1573"/>
      <c r="Y32" s="3340"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40"/>
      <c r="Q33" s="1611" t="str">
        <f t="shared" si="11"/>
        <v>项目建筑规模</v>
      </c>
      <c r="R33" s="1583" t="s">
        <v>11</v>
      </c>
      <c r="S33" s="1584" t="e">
        <f t="shared" si="12"/>
        <v>#N/A</v>
      </c>
      <c r="T33" s="1583" t="s">
        <v>11</v>
      </c>
      <c r="U33" s="1584" t="e">
        <f t="shared" si="13"/>
        <v>#N/A</v>
      </c>
      <c r="V33" s="1583" t="s">
        <v>11</v>
      </c>
      <c r="W33" s="1584" t="e">
        <f t="shared" si="14"/>
        <v>#N/A</v>
      </c>
      <c r="X33" s="1585"/>
      <c r="Y33" s="3340"/>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40"/>
      <c r="Q34" s="1578" t="str">
        <f t="shared" si="11"/>
        <v>建筑结构</v>
      </c>
      <c r="R34" s="1579" t="s">
        <v>11</v>
      </c>
      <c r="S34" s="1580">
        <f t="shared" si="12"/>
        <v>100</v>
      </c>
      <c r="T34" s="1579" t="s">
        <v>11</v>
      </c>
      <c r="U34" s="1580">
        <f t="shared" si="13"/>
        <v>100</v>
      </c>
      <c r="V34" s="1579" t="s">
        <v>11</v>
      </c>
      <c r="W34" s="1580">
        <f t="shared" si="14"/>
        <v>100</v>
      </c>
      <c r="X34" s="1573"/>
      <c r="Y34" s="3340"/>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40"/>
      <c r="Q35" s="1578" t="str">
        <f t="shared" si="11"/>
        <v>建筑品质</v>
      </c>
      <c r="R35" s="1579" t="s">
        <v>11</v>
      </c>
      <c r="S35" s="1580">
        <f t="shared" si="12"/>
        <v>100</v>
      </c>
      <c r="T35" s="1579" t="s">
        <v>11</v>
      </c>
      <c r="U35" s="1580">
        <f t="shared" si="13"/>
        <v>100</v>
      </c>
      <c r="V35" s="1579" t="s">
        <v>11</v>
      </c>
      <c r="W35" s="1580">
        <f t="shared" si="14"/>
        <v>100</v>
      </c>
      <c r="X35" s="1573"/>
      <c r="Y35" s="3340"/>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40"/>
      <c r="Q36" s="1578" t="str">
        <f t="shared" si="11"/>
        <v>公共部分装修</v>
      </c>
      <c r="R36" s="1579" t="s">
        <v>11</v>
      </c>
      <c r="S36" s="1580">
        <f t="shared" si="12"/>
        <v>100</v>
      </c>
      <c r="T36" s="1579" t="s">
        <v>11</v>
      </c>
      <c r="U36" s="1580">
        <f t="shared" si="13"/>
        <v>100</v>
      </c>
      <c r="V36" s="1579" t="s">
        <v>11</v>
      </c>
      <c r="W36" s="1580">
        <f t="shared" si="14"/>
        <v>100</v>
      </c>
      <c r="X36" s="1573"/>
      <c r="Y36" s="3340"/>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40"/>
      <c r="Q37" s="1154" t="str">
        <f t="shared" si="11"/>
        <v>成新度</v>
      </c>
      <c r="R37" s="1574" t="s">
        <v>11</v>
      </c>
      <c r="S37" s="1575" t="e">
        <f t="shared" si="12"/>
        <v>#N/A</v>
      </c>
      <c r="T37" s="1574" t="s">
        <v>11</v>
      </c>
      <c r="U37" s="1575" t="e">
        <f t="shared" si="13"/>
        <v>#N/A</v>
      </c>
      <c r="V37" s="1574" t="s">
        <v>11</v>
      </c>
      <c r="W37" s="1575" t="e">
        <f t="shared" si="14"/>
        <v>#N/A</v>
      </c>
      <c r="X37" s="1576"/>
      <c r="Y37" s="3340"/>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40" t="s">
        <v>551</v>
      </c>
      <c r="Q38" s="1578" t="str">
        <f t="shared" si="11"/>
        <v>物业管理</v>
      </c>
      <c r="R38" s="1579" t="s">
        <v>11</v>
      </c>
      <c r="S38" s="1580">
        <f t="shared" si="12"/>
        <v>100</v>
      </c>
      <c r="T38" s="1579" t="s">
        <v>11</v>
      </c>
      <c r="U38" s="1580">
        <f t="shared" si="13"/>
        <v>100</v>
      </c>
      <c r="V38" s="1579" t="s">
        <v>11</v>
      </c>
      <c r="W38" s="1580">
        <f t="shared" si="14"/>
        <v>100</v>
      </c>
      <c r="X38" s="1573"/>
      <c r="Y38" s="3340" t="s">
        <v>551</v>
      </c>
      <c r="Z38" s="1581" t="str">
        <f t="shared" si="15"/>
        <v>物业管理</v>
      </c>
      <c r="AA38" s="1582">
        <f t="shared" si="3"/>
        <v>1</v>
      </c>
      <c r="AB38" s="1582">
        <f t="shared" si="4"/>
        <v>1</v>
      </c>
      <c r="AC38" s="1582">
        <f t="shared" si="5"/>
        <v>1</v>
      </c>
    </row>
    <row r="39" spans="1:29" ht="15">
      <c r="A39" s="597"/>
      <c r="B39" s="1902" t="s">
        <v>2579</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40"/>
      <c r="Q39" s="1578" t="str">
        <f t="shared" si="11"/>
        <v>市政基础设施</v>
      </c>
      <c r="R39" s="1579" t="s">
        <v>11</v>
      </c>
      <c r="S39" s="1580">
        <f t="shared" si="12"/>
        <v>100</v>
      </c>
      <c r="T39" s="1579" t="s">
        <v>11</v>
      </c>
      <c r="U39" s="1580">
        <f t="shared" si="13"/>
        <v>100</v>
      </c>
      <c r="V39" s="1579" t="s">
        <v>11</v>
      </c>
      <c r="W39" s="1580">
        <f t="shared" si="14"/>
        <v>100</v>
      </c>
      <c r="X39" s="1573"/>
      <c r="Y39" s="3340"/>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40"/>
      <c r="Q40" s="1578" t="str">
        <f t="shared" si="11"/>
        <v>房型</v>
      </c>
      <c r="R40" s="1579" t="s">
        <v>11</v>
      </c>
      <c r="S40" s="1580">
        <f t="shared" si="12"/>
        <v>100</v>
      </c>
      <c r="T40" s="1579" t="s">
        <v>11</v>
      </c>
      <c r="U40" s="1580">
        <f t="shared" si="13"/>
        <v>100</v>
      </c>
      <c r="V40" s="1579" t="s">
        <v>11</v>
      </c>
      <c r="W40" s="1580">
        <f t="shared" si="14"/>
        <v>100</v>
      </c>
      <c r="X40" s="1573"/>
      <c r="Y40" s="3340"/>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40"/>
      <c r="Q41" s="1611" t="str">
        <f t="shared" si="11"/>
        <v>单套/主力户型建筑面积</v>
      </c>
      <c r="R41" s="1583" t="s">
        <v>11</v>
      </c>
      <c r="S41" s="1584">
        <f t="shared" si="12"/>
        <v>100</v>
      </c>
      <c r="T41" s="1583" t="s">
        <v>11</v>
      </c>
      <c r="U41" s="1584">
        <f t="shared" si="13"/>
        <v>100</v>
      </c>
      <c r="V41" s="1583" t="s">
        <v>11</v>
      </c>
      <c r="W41" s="1584">
        <f t="shared" si="14"/>
        <v>100</v>
      </c>
      <c r="X41" s="1585"/>
      <c r="Y41" s="3340"/>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40"/>
      <c r="Q42" s="1578" t="str">
        <f t="shared" si="11"/>
        <v>内部装修</v>
      </c>
      <c r="R42" s="1579" t="s">
        <v>11</v>
      </c>
      <c r="S42" s="1580">
        <f t="shared" si="12"/>
        <v>100</v>
      </c>
      <c r="T42" s="1579" t="s">
        <v>11</v>
      </c>
      <c r="U42" s="1580">
        <f t="shared" si="13"/>
        <v>100</v>
      </c>
      <c r="V42" s="1579" t="s">
        <v>11</v>
      </c>
      <c r="W42" s="1580">
        <f t="shared" si="14"/>
        <v>100</v>
      </c>
      <c r="X42" s="1573"/>
      <c r="Y42" s="3340"/>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40"/>
      <c r="Q43" s="1578" t="str">
        <f t="shared" si="11"/>
        <v>内部装修维护情况</v>
      </c>
      <c r="R43" s="1579" t="s">
        <v>11</v>
      </c>
      <c r="S43" s="1580">
        <f t="shared" si="12"/>
        <v>100</v>
      </c>
      <c r="T43" s="1579" t="s">
        <v>11</v>
      </c>
      <c r="U43" s="1580">
        <f t="shared" si="13"/>
        <v>100</v>
      </c>
      <c r="V43" s="1579" t="s">
        <v>11</v>
      </c>
      <c r="W43" s="1580">
        <f t="shared" si="14"/>
        <v>100</v>
      </c>
      <c r="X43" s="1573"/>
      <c r="Y43" s="3340"/>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40"/>
      <c r="Q44" s="1154">
        <f t="shared" si="11"/>
        <v>111</v>
      </c>
      <c r="R44" s="1574" t="s">
        <v>11</v>
      </c>
      <c r="S44" s="1575">
        <f t="shared" si="12"/>
        <v>100</v>
      </c>
      <c r="T44" s="1574" t="s">
        <v>11</v>
      </c>
      <c r="U44" s="1575">
        <f t="shared" si="13"/>
        <v>100</v>
      </c>
      <c r="V44" s="1574" t="s">
        <v>11</v>
      </c>
      <c r="W44" s="1575">
        <f t="shared" si="14"/>
        <v>100</v>
      </c>
      <c r="X44" s="1576"/>
      <c r="Y44" s="3340"/>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40"/>
      <c r="Q45" s="1578">
        <f t="shared" si="11"/>
        <v>111</v>
      </c>
      <c r="R45" s="1579" t="s">
        <v>11</v>
      </c>
      <c r="S45" s="1580">
        <f t="shared" si="12"/>
        <v>100</v>
      </c>
      <c r="T45" s="1579" t="s">
        <v>11</v>
      </c>
      <c r="U45" s="1580">
        <f t="shared" si="13"/>
        <v>100</v>
      </c>
      <c r="V45" s="1579" t="s">
        <v>11</v>
      </c>
      <c r="W45" s="1580">
        <f t="shared" si="14"/>
        <v>100</v>
      </c>
      <c r="X45" s="1573"/>
      <c r="Y45" s="3340"/>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1"/>
      <c r="Q46" s="1578">
        <f t="shared" si="11"/>
        <v>111</v>
      </c>
      <c r="R46" s="1579" t="s">
        <v>10</v>
      </c>
      <c r="S46" s="1580">
        <f t="shared" si="12"/>
        <v>100</v>
      </c>
      <c r="T46" s="1579" t="s">
        <v>10</v>
      </c>
      <c r="U46" s="1580">
        <f t="shared" si="13"/>
        <v>100</v>
      </c>
      <c r="V46" s="1579" t="s">
        <v>10</v>
      </c>
      <c r="W46" s="1580">
        <f t="shared" si="14"/>
        <v>100</v>
      </c>
      <c r="X46" s="1573"/>
      <c r="Y46" s="3431"/>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35" t="str">
        <f>A47</f>
        <v>成交单价（元/平方米）</v>
      </c>
      <c r="Q47" s="3335"/>
      <c r="R47" s="3430">
        <f>E47</f>
        <v>0</v>
      </c>
      <c r="S47" s="3430"/>
      <c r="T47" s="3430">
        <f>G47</f>
        <v>0</v>
      </c>
      <c r="U47" s="3430"/>
      <c r="V47" s="3430">
        <f>I47</f>
        <v>0</v>
      </c>
      <c r="W47" s="3430"/>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3"/>
      <c r="L48" s="2155"/>
      <c r="M48" s="2156"/>
      <c r="N48" s="2156"/>
      <c r="O48" s="2156"/>
      <c r="P48" s="3335" t="str">
        <f>A48</f>
        <v>比较价格（元/平方米）</v>
      </c>
      <c r="Q48" s="33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4"/>
      <c r="L49" s="2155"/>
      <c r="M49" s="2156"/>
      <c r="N49" s="2156"/>
      <c r="O49" s="2156"/>
      <c r="P49" s="3356" t="str">
        <f>A49</f>
        <v>估价对象XX用房的比较价格（楼面单价，元/平方米）</v>
      </c>
      <c r="Q49" s="3357"/>
      <c r="R49" s="3429" t="e">
        <f>IF(F1="售价",ROUND(AVERAGE(R48:V48),0),ROUND(AVERAGE(R48:V48),1))</f>
        <v>#DIV/0!</v>
      </c>
      <c r="S49" s="3429"/>
      <c r="T49" s="3429"/>
      <c r="U49" s="3429"/>
      <c r="V49" s="3429"/>
      <c r="W49" s="342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2268</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2571</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2269</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2270</v>
      </c>
      <c r="C137" s="1926"/>
      <c r="D137" s="1926"/>
      <c r="E137" s="1926"/>
      <c r="F137" s="1926"/>
      <c r="G137" s="1927"/>
      <c r="H137" s="1928"/>
      <c r="I137" s="1929" t="s">
        <v>2271</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2272</v>
      </c>
      <c r="D138" s="1932" t="s">
        <v>2273</v>
      </c>
      <c r="E138" s="1933" t="s">
        <v>2274</v>
      </c>
      <c r="F138" s="1934" t="s">
        <v>2275</v>
      </c>
      <c r="G138" s="1932" t="s">
        <v>2276</v>
      </c>
      <c r="H138" s="1935" t="s">
        <v>2277</v>
      </c>
      <c r="I138" s="1936"/>
      <c r="J138" s="1932" t="s">
        <v>2278</v>
      </c>
      <c r="K138" s="1935" t="s">
        <v>2279</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2280</v>
      </c>
      <c r="E139" s="1906">
        <v>100</v>
      </c>
      <c r="F139" s="1907">
        <v>102.5</v>
      </c>
      <c r="G139" s="1937" t="s">
        <v>2281</v>
      </c>
      <c r="H139" s="1908">
        <v>105</v>
      </c>
      <c r="I139" s="1938" t="s">
        <v>2282</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2283</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2284</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2285</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2286</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2287</v>
      </c>
      <c r="E144" s="1912">
        <v>102</v>
      </c>
      <c r="F144" s="1918">
        <v>100</v>
      </c>
      <c r="G144" s="1941" t="s">
        <v>2287</v>
      </c>
      <c r="H144" s="1914">
        <v>105</v>
      </c>
      <c r="I144" s="1940" t="s">
        <v>2286</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2288</v>
      </c>
      <c r="C145" s="1919">
        <f>ROUND(MAX(C139:C144)/MIN(C139:C144)-1,3)</f>
        <v>7.2999999999999995E-2</v>
      </c>
      <c r="D145" s="1943"/>
      <c r="E145" s="1943"/>
      <c r="F145" s="1944" t="s">
        <v>2289</v>
      </c>
      <c r="G145" s="1945"/>
      <c r="H145" s="1946"/>
      <c r="I145" s="1947" t="s">
        <v>2286</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2298</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2299</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41" t="s">
        <v>523</v>
      </c>
      <c r="D4" s="3342"/>
      <c r="E4" s="3365" t="s">
        <v>524</v>
      </c>
      <c r="F4" s="3366"/>
      <c r="G4" s="3341" t="s">
        <v>525</v>
      </c>
      <c r="H4" s="3342"/>
      <c r="I4" s="3341" t="s">
        <v>526</v>
      </c>
      <c r="J4" s="3342"/>
      <c r="K4" s="517" t="s">
        <v>527</v>
      </c>
      <c r="L4" s="2144"/>
      <c r="M4" s="2145"/>
      <c r="N4" s="2145"/>
      <c r="O4" s="2145"/>
      <c r="P4" s="3343" t="s">
        <v>528</v>
      </c>
      <c r="Q4" s="3344"/>
      <c r="R4" s="3329" t="s">
        <v>524</v>
      </c>
      <c r="S4" s="3330"/>
      <c r="T4" s="3329" t="s">
        <v>525</v>
      </c>
      <c r="U4" s="3330"/>
      <c r="V4" s="3349" t="s">
        <v>526</v>
      </c>
      <c r="W4" s="3349"/>
      <c r="X4" s="1573"/>
      <c r="Y4" s="3329" t="s">
        <v>528</v>
      </c>
      <c r="Z4" s="3330"/>
      <c r="AA4" s="3324" t="s">
        <v>524</v>
      </c>
      <c r="AB4" s="3349" t="s">
        <v>525</v>
      </c>
      <c r="AC4" s="3324" t="s">
        <v>526</v>
      </c>
    </row>
    <row r="5" spans="1:29" ht="15">
      <c r="A5" s="518"/>
      <c r="B5" s="519"/>
      <c r="C5" s="3352" t="s">
        <v>2949</v>
      </c>
      <c r="D5" s="3353"/>
      <c r="E5" s="3367" t="s">
        <v>2950</v>
      </c>
      <c r="F5" s="3368"/>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49"/>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49"/>
      <c r="AC6" s="3326"/>
    </row>
    <row r="7" spans="1:29" s="1223" customFormat="1" ht="15.75" thickBot="1">
      <c r="A7" s="2952"/>
      <c r="B7" s="2959" t="s">
        <v>530</v>
      </c>
      <c r="C7" s="522">
        <f>'数据-取费表'!B2</f>
        <v>42923</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27" t="s">
        <v>531</v>
      </c>
      <c r="Q7" s="3336"/>
      <c r="R7" s="1574" t="s">
        <v>8</v>
      </c>
      <c r="S7" s="1575">
        <f t="shared" ref="S7:S15" si="0">F7</f>
        <v>0</v>
      </c>
      <c r="T7" s="1574" t="s">
        <v>8</v>
      </c>
      <c r="U7" s="1575">
        <f t="shared" ref="U7:U15" si="1">H7</f>
        <v>0</v>
      </c>
      <c r="V7" s="1574" t="s">
        <v>8</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46" si="3">D8/F8</f>
        <v>#DIV/0!</v>
      </c>
      <c r="AB8" s="1577" t="e">
        <f t="shared" ref="AB8:AB46" si="4">D8/H8</f>
        <v>#DIV/0!</v>
      </c>
      <c r="AC8" s="1577" t="e">
        <f t="shared" ref="AC8:AC46" si="5">D8/J8</f>
        <v>#DIV/0!</v>
      </c>
    </row>
    <row r="9" spans="1:29" s="1223" customFormat="1" ht="15">
      <c r="A9" s="2954"/>
      <c r="B9" s="2961" t="s">
        <v>2774</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35"/>
      <c r="Q11" s="1154" t="str">
        <f t="shared" si="6"/>
        <v>容积率</v>
      </c>
      <c r="R11" s="1574" t="s">
        <v>8</v>
      </c>
      <c r="S11" s="1575" t="e">
        <f t="shared" si="0"/>
        <v>#N/A</v>
      </c>
      <c r="T11" s="1574" t="s">
        <v>8</v>
      </c>
      <c r="U11" s="1575" t="e">
        <f t="shared" si="1"/>
        <v>#N/A</v>
      </c>
      <c r="V11" s="1574" t="s">
        <v>8</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 t="shared" si="3"/>
        <v>1</v>
      </c>
      <c r="AB14" s="1577">
        <f t="shared" si="4"/>
        <v>1</v>
      </c>
      <c r="AC14" s="1577">
        <f t="shared" si="5"/>
        <v>1</v>
      </c>
    </row>
    <row r="15" spans="1:29" ht="71.25">
      <c r="A15" s="2950" t="s">
        <v>2772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37" t="s">
        <v>541</v>
      </c>
      <c r="Q15" s="1578" t="str">
        <f t="shared" si="6"/>
        <v>商业繁华度</v>
      </c>
      <c r="R15" s="1579" t="s">
        <v>8</v>
      </c>
      <c r="S15" s="1580">
        <f t="shared" si="0"/>
        <v>100</v>
      </c>
      <c r="T15" s="1579" t="s">
        <v>8</v>
      </c>
      <c r="U15" s="1580">
        <f t="shared" si="1"/>
        <v>100</v>
      </c>
      <c r="V15" s="1579" t="s">
        <v>8</v>
      </c>
      <c r="W15" s="1580">
        <f t="shared" si="2"/>
        <v>100</v>
      </c>
      <c r="X15" s="1573"/>
      <c r="Y15" s="3337"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8"/>
      <c r="Q16" s="1578"/>
      <c r="R16" s="1579"/>
      <c r="S16" s="1580"/>
      <c r="T16" s="1579"/>
      <c r="U16" s="1580"/>
      <c r="V16" s="1579"/>
      <c r="W16" s="1580"/>
      <c r="X16" s="1573"/>
      <c r="Y16" s="3338"/>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38"/>
      <c r="Q17" s="1578" t="str">
        <f>B17</f>
        <v>交通便捷度</v>
      </c>
      <c r="R17" s="1579" t="s">
        <v>8</v>
      </c>
      <c r="S17" s="1580">
        <f>F17</f>
        <v>100</v>
      </c>
      <c r="T17" s="1579" t="s">
        <v>8</v>
      </c>
      <c r="U17" s="1580">
        <f>H17</f>
        <v>100</v>
      </c>
      <c r="V17" s="1579" t="s">
        <v>8</v>
      </c>
      <c r="W17" s="1580">
        <f>J17</f>
        <v>100</v>
      </c>
      <c r="X17" s="1573"/>
      <c r="Y17" s="333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8"/>
      <c r="Q18" s="1578"/>
      <c r="R18" s="1579"/>
      <c r="S18" s="1580"/>
      <c r="T18" s="1579"/>
      <c r="U18" s="1580"/>
      <c r="V18" s="1579"/>
      <c r="W18" s="1580"/>
      <c r="X18" s="1573"/>
      <c r="Y18" s="3338"/>
      <c r="Z18" s="1581"/>
      <c r="AA18" s="1582">
        <v>1</v>
      </c>
      <c r="AB18" s="1582">
        <v>1</v>
      </c>
      <c r="AC18" s="1582">
        <v>1</v>
      </c>
    </row>
    <row r="19" spans="1:29" ht="42.75">
      <c r="A19" s="535"/>
      <c r="B19" s="2636" t="s">
        <v>2561</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38"/>
      <c r="Q19" s="1578" t="str">
        <f>B19</f>
        <v>公共配套设施</v>
      </c>
      <c r="R19" s="1579" t="s">
        <v>8</v>
      </c>
      <c r="S19" s="1580">
        <f>F19</f>
        <v>100</v>
      </c>
      <c r="T19" s="1579" t="s">
        <v>8</v>
      </c>
      <c r="U19" s="1580">
        <f>H19</f>
        <v>100</v>
      </c>
      <c r="V19" s="1579" t="s">
        <v>8</v>
      </c>
      <c r="W19" s="1580">
        <f>J19</f>
        <v>100</v>
      </c>
      <c r="X19" s="1573"/>
      <c r="Y19" s="3338"/>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8.5">
      <c r="A21" s="535"/>
      <c r="B21" s="2629" t="s">
        <v>2573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38"/>
      <c r="Q21" s="2615" t="str">
        <f>B21</f>
        <v>基础设施水平</v>
      </c>
      <c r="R21" s="1579" t="s">
        <v>8</v>
      </c>
      <c r="S21" s="1580">
        <f>F21</f>
        <v>100</v>
      </c>
      <c r="T21" s="1579" t="s">
        <v>8</v>
      </c>
      <c r="U21" s="1580">
        <f>H21</f>
        <v>100</v>
      </c>
      <c r="V21" s="1579" t="s">
        <v>8</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38"/>
      <c r="Q22" s="2615"/>
      <c r="R22" s="1579"/>
      <c r="S22" s="1580"/>
      <c r="T22" s="1579"/>
      <c r="U22" s="1580"/>
      <c r="V22" s="1579"/>
      <c r="W22" s="1580"/>
      <c r="X22" s="2617"/>
      <c r="Y22" s="3338"/>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38"/>
      <c r="Q23" s="1578" t="str">
        <f>B23</f>
        <v>自然及人文环境</v>
      </c>
      <c r="R23" s="1579" t="s">
        <v>8</v>
      </c>
      <c r="S23" s="1580">
        <f>F23</f>
        <v>100</v>
      </c>
      <c r="T23" s="1579" t="s">
        <v>8</v>
      </c>
      <c r="U23" s="1580">
        <f>H23</f>
        <v>100</v>
      </c>
      <c r="V23" s="1579" t="s">
        <v>8</v>
      </c>
      <c r="W23" s="1580">
        <f>J23</f>
        <v>100</v>
      </c>
      <c r="X23" s="1573"/>
      <c r="Y23" s="3338"/>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38"/>
      <c r="Q24" s="1578"/>
      <c r="R24" s="1579"/>
      <c r="S24" s="1580"/>
      <c r="T24" s="1579"/>
      <c r="U24" s="1580"/>
      <c r="V24" s="1579"/>
      <c r="W24" s="1580"/>
      <c r="X24" s="1573"/>
      <c r="Y24" s="3338"/>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38"/>
      <c r="Q25" s="1578" t="str">
        <f t="shared" ref="Q25:Q46" si="11">B25</f>
        <v>临街状况</v>
      </c>
      <c r="R25" s="1579" t="s">
        <v>8</v>
      </c>
      <c r="S25" s="1580">
        <f>F25</f>
        <v>100</v>
      </c>
      <c r="T25" s="1579" t="s">
        <v>8</v>
      </c>
      <c r="U25" s="1580">
        <f>H25</f>
        <v>100</v>
      </c>
      <c r="V25" s="1579" t="s">
        <v>8</v>
      </c>
      <c r="W25" s="1580">
        <f>J25</f>
        <v>100</v>
      </c>
      <c r="X25" s="1573"/>
      <c r="Y25" s="3338"/>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38"/>
      <c r="Q26" s="1578" t="str">
        <f t="shared" si="11"/>
        <v>平面位置/可视性</v>
      </c>
      <c r="R26" s="1579" t="s">
        <v>8</v>
      </c>
      <c r="S26" s="1580">
        <f>F26</f>
        <v>100</v>
      </c>
      <c r="T26" s="1579" t="s">
        <v>8</v>
      </c>
      <c r="U26" s="1580">
        <f>H26</f>
        <v>100</v>
      </c>
      <c r="V26" s="1579" t="s">
        <v>8</v>
      </c>
      <c r="W26" s="1580">
        <f>J26</f>
        <v>100</v>
      </c>
      <c r="X26" s="1573"/>
      <c r="Y26" s="3338"/>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38"/>
      <c r="Q27" s="1154" t="str">
        <f t="shared" si="11"/>
        <v>人流量</v>
      </c>
      <c r="R27" s="1574" t="s">
        <v>8</v>
      </c>
      <c r="S27" s="1575">
        <f>F27</f>
        <v>100</v>
      </c>
      <c r="T27" s="1574" t="s">
        <v>8</v>
      </c>
      <c r="U27" s="1575">
        <f>H27</f>
        <v>100</v>
      </c>
      <c r="V27" s="1574" t="s">
        <v>8</v>
      </c>
      <c r="W27" s="1575">
        <f>J27</f>
        <v>100</v>
      </c>
      <c r="X27" s="1576"/>
      <c r="Y27" s="3338"/>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38"/>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38"/>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38"/>
      <c r="Q29" s="1578">
        <f t="shared" si="11"/>
        <v>111</v>
      </c>
      <c r="R29" s="1579" t="s">
        <v>8</v>
      </c>
      <c r="S29" s="1580">
        <f t="shared" si="12"/>
        <v>100</v>
      </c>
      <c r="T29" s="1579" t="s">
        <v>8</v>
      </c>
      <c r="U29" s="1580">
        <f t="shared" si="13"/>
        <v>100</v>
      </c>
      <c r="V29" s="1579" t="s">
        <v>8</v>
      </c>
      <c r="W29" s="1580">
        <f t="shared" si="14"/>
        <v>100</v>
      </c>
      <c r="X29" s="1573"/>
      <c r="Y29" s="3338"/>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38"/>
      <c r="Q30" s="1578">
        <f t="shared" si="11"/>
        <v>111</v>
      </c>
      <c r="R30" s="1579" t="s">
        <v>8</v>
      </c>
      <c r="S30" s="1580">
        <f t="shared" si="12"/>
        <v>100</v>
      </c>
      <c r="T30" s="1579" t="s">
        <v>8</v>
      </c>
      <c r="U30" s="1580">
        <f t="shared" si="13"/>
        <v>100</v>
      </c>
      <c r="V30" s="1579" t="s">
        <v>8</v>
      </c>
      <c r="W30" s="1580">
        <f t="shared" si="14"/>
        <v>100</v>
      </c>
      <c r="X30" s="1573"/>
      <c r="Y30" s="3338"/>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38"/>
      <c r="Q31" s="1578">
        <f t="shared" si="11"/>
        <v>111</v>
      </c>
      <c r="R31" s="1579" t="s">
        <v>8</v>
      </c>
      <c r="S31" s="1580">
        <f t="shared" si="12"/>
        <v>100</v>
      </c>
      <c r="T31" s="1579" t="s">
        <v>8</v>
      </c>
      <c r="U31" s="1580">
        <f t="shared" si="13"/>
        <v>100</v>
      </c>
      <c r="V31" s="1579" t="s">
        <v>8</v>
      </c>
      <c r="W31" s="1580">
        <f t="shared" si="14"/>
        <v>100</v>
      </c>
      <c r="X31" s="1573"/>
      <c r="Y31" s="3338"/>
      <c r="Z31" s="1581">
        <f t="shared" si="15"/>
        <v>111</v>
      </c>
      <c r="AA31" s="1582">
        <f t="shared" si="3"/>
        <v>1</v>
      </c>
      <c r="AB31" s="1582">
        <f t="shared" si="4"/>
        <v>1</v>
      </c>
      <c r="AC31" s="1582">
        <f t="shared" si="5"/>
        <v>1</v>
      </c>
    </row>
    <row r="32" spans="1:29" ht="15">
      <c r="A32" s="2947" t="s">
        <v>2773</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39" t="s">
        <v>551</v>
      </c>
      <c r="Q32" s="1578" t="str">
        <f t="shared" si="11"/>
        <v>商业类型</v>
      </c>
      <c r="R32" s="1579" t="s">
        <v>8</v>
      </c>
      <c r="S32" s="1580">
        <f t="shared" si="12"/>
        <v>100</v>
      </c>
      <c r="T32" s="1579" t="s">
        <v>8</v>
      </c>
      <c r="U32" s="1580">
        <f t="shared" si="13"/>
        <v>100</v>
      </c>
      <c r="V32" s="1579" t="s">
        <v>8</v>
      </c>
      <c r="W32" s="1580">
        <f t="shared" si="14"/>
        <v>100</v>
      </c>
      <c r="X32" s="1573"/>
      <c r="Y32" s="3340"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40"/>
      <c r="Q33" s="1611" t="str">
        <f t="shared" si="11"/>
        <v>项目建筑规模</v>
      </c>
      <c r="R33" s="1583" t="s">
        <v>8</v>
      </c>
      <c r="S33" s="1584" t="e">
        <f t="shared" si="12"/>
        <v>#N/A</v>
      </c>
      <c r="T33" s="1583" t="s">
        <v>8</v>
      </c>
      <c r="U33" s="1584" t="e">
        <f t="shared" si="13"/>
        <v>#N/A</v>
      </c>
      <c r="V33" s="1583" t="s">
        <v>8</v>
      </c>
      <c r="W33" s="1584" t="e">
        <f t="shared" si="14"/>
        <v>#N/A</v>
      </c>
      <c r="X33" s="1585"/>
      <c r="Y33" s="3340"/>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40"/>
      <c r="Q34" s="1578" t="str">
        <f t="shared" si="11"/>
        <v>建筑结构</v>
      </c>
      <c r="R34" s="1579" t="s">
        <v>8</v>
      </c>
      <c r="S34" s="1580">
        <f t="shared" si="12"/>
        <v>100</v>
      </c>
      <c r="T34" s="1579" t="s">
        <v>8</v>
      </c>
      <c r="U34" s="1580">
        <f t="shared" si="13"/>
        <v>100</v>
      </c>
      <c r="V34" s="1579" t="s">
        <v>8</v>
      </c>
      <c r="W34" s="1580">
        <f t="shared" si="14"/>
        <v>100</v>
      </c>
      <c r="X34" s="1573"/>
      <c r="Y34" s="3340"/>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40"/>
      <c r="Q35" s="1578" t="str">
        <f t="shared" si="11"/>
        <v>公共部分装修</v>
      </c>
      <c r="R35" s="1579" t="s">
        <v>8</v>
      </c>
      <c r="S35" s="1580">
        <f t="shared" si="12"/>
        <v>100</v>
      </c>
      <c r="T35" s="1579" t="s">
        <v>8</v>
      </c>
      <c r="U35" s="1580">
        <f t="shared" si="13"/>
        <v>100</v>
      </c>
      <c r="V35" s="1579" t="s">
        <v>8</v>
      </c>
      <c r="W35" s="1580">
        <f t="shared" si="14"/>
        <v>100</v>
      </c>
      <c r="X35" s="1573"/>
      <c r="Y35" s="3340"/>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40"/>
      <c r="Q36" s="1578" t="str">
        <f t="shared" si="11"/>
        <v>成新度</v>
      </c>
      <c r="R36" s="1579" t="s">
        <v>8</v>
      </c>
      <c r="S36" s="1580" t="e">
        <f t="shared" si="12"/>
        <v>#N/A</v>
      </c>
      <c r="T36" s="1579" t="s">
        <v>8</v>
      </c>
      <c r="U36" s="1580" t="e">
        <f t="shared" si="13"/>
        <v>#N/A</v>
      </c>
      <c r="V36" s="1579" t="s">
        <v>8</v>
      </c>
      <c r="W36" s="1580" t="e">
        <f t="shared" si="14"/>
        <v>#N/A</v>
      </c>
      <c r="X36" s="1573"/>
      <c r="Y36" s="3340"/>
      <c r="Z36" s="1581" t="str">
        <f t="shared" si="15"/>
        <v>成新度</v>
      </c>
      <c r="AA36" s="1582" t="e">
        <f t="shared" si="3"/>
        <v>#N/A</v>
      </c>
      <c r="AB36" s="1582" t="e">
        <f t="shared" si="4"/>
        <v>#N/A</v>
      </c>
      <c r="AC36" s="1582" t="e">
        <f t="shared" si="5"/>
        <v>#N/A</v>
      </c>
    </row>
    <row r="37" spans="1:29" s="1223" customFormat="1" ht="15">
      <c r="A37" s="603"/>
      <c r="B37" s="1902" t="s">
        <v>2580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40"/>
      <c r="Q37" s="1154" t="str">
        <f t="shared" si="11"/>
        <v>市政基础设施</v>
      </c>
      <c r="R37" s="1574" t="s">
        <v>8</v>
      </c>
      <c r="S37" s="1575">
        <f t="shared" si="12"/>
        <v>100</v>
      </c>
      <c r="T37" s="1574" t="s">
        <v>8</v>
      </c>
      <c r="U37" s="1575">
        <f t="shared" si="13"/>
        <v>100</v>
      </c>
      <c r="V37" s="1574" t="s">
        <v>8</v>
      </c>
      <c r="W37" s="1575">
        <f t="shared" si="14"/>
        <v>100</v>
      </c>
      <c r="X37" s="1576"/>
      <c r="Y37" s="3340"/>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40" t="s">
        <v>769</v>
      </c>
      <c r="Q38" s="1578" t="str">
        <f t="shared" si="11"/>
        <v>业态</v>
      </c>
      <c r="R38" s="1579" t="s">
        <v>8</v>
      </c>
      <c r="S38" s="1580">
        <f t="shared" si="12"/>
        <v>100</v>
      </c>
      <c r="T38" s="1579" t="s">
        <v>8</v>
      </c>
      <c r="U38" s="1580">
        <f t="shared" si="13"/>
        <v>100</v>
      </c>
      <c r="V38" s="1579" t="s">
        <v>8</v>
      </c>
      <c r="W38" s="1580">
        <f t="shared" si="14"/>
        <v>100</v>
      </c>
      <c r="X38" s="1573"/>
      <c r="Y38" s="3340"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0"/>
      <c r="Q39" s="1578" t="str">
        <f t="shared" si="11"/>
        <v>层高</v>
      </c>
      <c r="R39" s="1579" t="s">
        <v>8</v>
      </c>
      <c r="S39" s="1580">
        <f t="shared" si="12"/>
        <v>100</v>
      </c>
      <c r="T39" s="1579" t="s">
        <v>8</v>
      </c>
      <c r="U39" s="1580">
        <f t="shared" si="13"/>
        <v>100</v>
      </c>
      <c r="V39" s="1579" t="s">
        <v>8</v>
      </c>
      <c r="W39" s="1580">
        <f t="shared" si="14"/>
        <v>100</v>
      </c>
      <c r="X39" s="1573"/>
      <c r="Y39" s="3340"/>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40"/>
      <c r="Q40" s="1578" t="str">
        <f t="shared" si="11"/>
        <v>单套建筑面积</v>
      </c>
      <c r="R40" s="1579" t="s">
        <v>8</v>
      </c>
      <c r="S40" s="1580">
        <f t="shared" si="12"/>
        <v>100</v>
      </c>
      <c r="T40" s="1579" t="s">
        <v>8</v>
      </c>
      <c r="U40" s="1580">
        <f t="shared" si="13"/>
        <v>100</v>
      </c>
      <c r="V40" s="1579" t="s">
        <v>8</v>
      </c>
      <c r="W40" s="1580">
        <f t="shared" si="14"/>
        <v>100</v>
      </c>
      <c r="X40" s="1573"/>
      <c r="Y40" s="3340"/>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40"/>
      <c r="Q41" s="1611" t="str">
        <f t="shared" si="11"/>
        <v>进深比</v>
      </c>
      <c r="R41" s="1583" t="s">
        <v>8</v>
      </c>
      <c r="S41" s="1584">
        <f t="shared" si="12"/>
        <v>100</v>
      </c>
      <c r="T41" s="1583" t="s">
        <v>8</v>
      </c>
      <c r="U41" s="1584">
        <f t="shared" si="13"/>
        <v>100</v>
      </c>
      <c r="V41" s="1583" t="s">
        <v>8</v>
      </c>
      <c r="W41" s="1584">
        <f t="shared" si="14"/>
        <v>100</v>
      </c>
      <c r="X41" s="1585"/>
      <c r="Y41" s="3340"/>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40"/>
      <c r="Q42" s="1578" t="str">
        <f t="shared" si="11"/>
        <v>内部装修</v>
      </c>
      <c r="R42" s="1579" t="s">
        <v>8</v>
      </c>
      <c r="S42" s="1580">
        <f t="shared" si="12"/>
        <v>100</v>
      </c>
      <c r="T42" s="1579" t="s">
        <v>8</v>
      </c>
      <c r="U42" s="1580">
        <f t="shared" si="13"/>
        <v>100</v>
      </c>
      <c r="V42" s="1579" t="s">
        <v>8</v>
      </c>
      <c r="W42" s="1580">
        <f t="shared" si="14"/>
        <v>100</v>
      </c>
      <c r="X42" s="1573"/>
      <c r="Y42" s="3340"/>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40"/>
      <c r="Q43" s="1578" t="str">
        <f t="shared" si="11"/>
        <v>内部装修维护情况</v>
      </c>
      <c r="R43" s="1579" t="s">
        <v>8</v>
      </c>
      <c r="S43" s="1580">
        <f t="shared" si="12"/>
        <v>100</v>
      </c>
      <c r="T43" s="1579" t="s">
        <v>8</v>
      </c>
      <c r="U43" s="1580">
        <f t="shared" si="13"/>
        <v>100</v>
      </c>
      <c r="V43" s="1579" t="s">
        <v>8</v>
      </c>
      <c r="W43" s="1580">
        <f t="shared" si="14"/>
        <v>100</v>
      </c>
      <c r="X43" s="1573"/>
      <c r="Y43" s="3340"/>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40"/>
      <c r="Q44" s="1154">
        <f t="shared" si="11"/>
        <v>111</v>
      </c>
      <c r="R44" s="1574" t="s">
        <v>8</v>
      </c>
      <c r="S44" s="1575">
        <f t="shared" si="12"/>
        <v>100</v>
      </c>
      <c r="T44" s="1574" t="s">
        <v>8</v>
      </c>
      <c r="U44" s="1575">
        <f t="shared" si="13"/>
        <v>100</v>
      </c>
      <c r="V44" s="1574" t="s">
        <v>8</v>
      </c>
      <c r="W44" s="1575">
        <f t="shared" si="14"/>
        <v>100</v>
      </c>
      <c r="X44" s="1576"/>
      <c r="Y44" s="3340"/>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40"/>
      <c r="Q45" s="1578">
        <f t="shared" si="11"/>
        <v>111</v>
      </c>
      <c r="R45" s="1579" t="s">
        <v>8</v>
      </c>
      <c r="S45" s="1580">
        <f t="shared" si="12"/>
        <v>100</v>
      </c>
      <c r="T45" s="1579" t="s">
        <v>8</v>
      </c>
      <c r="U45" s="1580">
        <f t="shared" si="13"/>
        <v>100</v>
      </c>
      <c r="V45" s="1579" t="s">
        <v>8</v>
      </c>
      <c r="W45" s="1580">
        <f t="shared" si="14"/>
        <v>100</v>
      </c>
      <c r="X45" s="1573"/>
      <c r="Y45" s="3340"/>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1"/>
      <c r="Q46" s="1578">
        <f t="shared" si="11"/>
        <v>111</v>
      </c>
      <c r="R46" s="1579" t="s">
        <v>8</v>
      </c>
      <c r="S46" s="1580">
        <f t="shared" si="12"/>
        <v>100</v>
      </c>
      <c r="T46" s="1579" t="s">
        <v>8</v>
      </c>
      <c r="U46" s="1580">
        <f t="shared" si="13"/>
        <v>100</v>
      </c>
      <c r="V46" s="1579" t="s">
        <v>8</v>
      </c>
      <c r="W46" s="1580">
        <f t="shared" si="14"/>
        <v>100</v>
      </c>
      <c r="X46" s="1573"/>
      <c r="Y46" s="3431"/>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35" t="str">
        <f>A47</f>
        <v>成交单价（元/平方米）</v>
      </c>
      <c r="Q47" s="3335"/>
      <c r="R47" s="3430">
        <f>E47</f>
        <v>0</v>
      </c>
      <c r="S47" s="3430"/>
      <c r="T47" s="3430">
        <f>G47</f>
        <v>0</v>
      </c>
      <c r="U47" s="3430"/>
      <c r="V47" s="3430">
        <f>I47</f>
        <v>0</v>
      </c>
      <c r="W47" s="3430"/>
      <c r="X47" s="1565"/>
      <c r="Y47" s="1587"/>
      <c r="Z47" s="1565"/>
      <c r="AA47" s="1565"/>
      <c r="AB47" s="1565"/>
      <c r="AC47" s="1565"/>
    </row>
    <row r="48" spans="1:29" ht="15.75" thickBot="1">
      <c r="A48" s="618" t="s">
        <v>2778</v>
      </c>
      <c r="B48" s="891"/>
      <c r="C48" s="2669" t="e">
        <f>R49</f>
        <v>#DIV/0!</v>
      </c>
      <c r="D48" s="2670"/>
      <c r="E48" s="2671" t="e">
        <f>R48</f>
        <v>#DIV/0!</v>
      </c>
      <c r="F48" s="2671"/>
      <c r="G48" s="2669" t="e">
        <f>T48</f>
        <v>#DIV/0!</v>
      </c>
      <c r="H48" s="2670"/>
      <c r="I48" s="2671" t="e">
        <f>V48</f>
        <v>#DIV/0!</v>
      </c>
      <c r="J48" s="2670"/>
      <c r="K48" s="1618"/>
      <c r="L48" s="2155"/>
      <c r="M48" s="2156"/>
      <c r="N48" s="2145"/>
      <c r="O48" s="2156"/>
      <c r="P48" s="3335" t="str">
        <f>A48</f>
        <v>比较价格（元/平方米）</v>
      </c>
      <c r="Q48" s="3335"/>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65"/>
      <c r="Y48" s="1565"/>
      <c r="Z48" s="1565"/>
      <c r="AA48" s="1565"/>
      <c r="AB48" s="1565"/>
      <c r="AC48" s="1565"/>
    </row>
    <row r="49" spans="1:29" ht="15.75" thickBot="1">
      <c r="A49" s="624" t="s">
        <v>2955</v>
      </c>
      <c r="B49" s="625"/>
      <c r="C49" s="2672" t="e">
        <f>R49</f>
        <v>#DIV/0!</v>
      </c>
      <c r="D49" s="2672"/>
      <c r="E49" s="2672"/>
      <c r="F49" s="2672"/>
      <c r="G49" s="2672"/>
      <c r="H49" s="2672"/>
      <c r="I49" s="2672"/>
      <c r="J49" s="2672"/>
      <c r="K49" s="1619"/>
      <c r="L49" s="2155"/>
      <c r="M49" s="2156"/>
      <c r="N49" s="2145"/>
      <c r="O49" s="2156"/>
      <c r="P49" s="3356" t="str">
        <f>A49</f>
        <v>估价对象XX用房的比较价格（楼面单价，元/平方米）</v>
      </c>
      <c r="Q49" s="3357"/>
      <c r="R49" s="3429" t="e">
        <f>IF(F1="售价",ROUND(AVERAGE(R48:V48),0),ROUND(AVERAGE(R48:V48),1))</f>
        <v>#DIV/0!</v>
      </c>
      <c r="S49" s="3429"/>
      <c r="T49" s="3429"/>
      <c r="U49" s="3429"/>
      <c r="V49" s="3429"/>
      <c r="W49" s="342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2572</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2573</v>
      </c>
      <c r="C82" s="2634" t="s">
        <v>2574</v>
      </c>
      <c r="D82" s="2634" t="s">
        <v>2575</v>
      </c>
      <c r="E82" s="2634" t="s">
        <v>2576</v>
      </c>
      <c r="F82" s="2634" t="s">
        <v>2577</v>
      </c>
      <c r="G82" s="2634" t="s">
        <v>2578</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2571</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41" t="s">
        <v>523</v>
      </c>
      <c r="D4" s="3342"/>
      <c r="E4" s="3365" t="s">
        <v>524</v>
      </c>
      <c r="F4" s="3366"/>
      <c r="G4" s="3341" t="s">
        <v>525</v>
      </c>
      <c r="H4" s="3342"/>
      <c r="I4" s="3341" t="s">
        <v>526</v>
      </c>
      <c r="J4" s="3342"/>
      <c r="K4" s="517" t="s">
        <v>527</v>
      </c>
      <c r="L4" s="2144"/>
      <c r="M4" s="2145"/>
      <c r="N4" s="2145"/>
      <c r="O4" s="2145"/>
      <c r="P4" s="3432" t="s">
        <v>528</v>
      </c>
      <c r="Q4" s="3344"/>
      <c r="R4" s="3329" t="s">
        <v>524</v>
      </c>
      <c r="S4" s="3330"/>
      <c r="T4" s="3329" t="s">
        <v>525</v>
      </c>
      <c r="U4" s="3330"/>
      <c r="V4" s="3349" t="s">
        <v>526</v>
      </c>
      <c r="W4" s="3349"/>
      <c r="X4" s="1573"/>
      <c r="Y4" s="3329" t="s">
        <v>528</v>
      </c>
      <c r="Z4" s="3330"/>
      <c r="AA4" s="3324" t="s">
        <v>524</v>
      </c>
      <c r="AB4" s="3324" t="s">
        <v>525</v>
      </c>
      <c r="AC4" s="3324" t="s">
        <v>526</v>
      </c>
    </row>
    <row r="5" spans="1:29" ht="15">
      <c r="A5" s="518"/>
      <c r="B5" s="519"/>
      <c r="C5" s="3352" t="s">
        <v>2949</v>
      </c>
      <c r="D5" s="3353"/>
      <c r="E5" s="3367" t="s">
        <v>2950</v>
      </c>
      <c r="F5" s="3368"/>
      <c r="G5" s="3352" t="s">
        <v>2951</v>
      </c>
      <c r="H5" s="3353"/>
      <c r="I5" s="3352" t="s">
        <v>2952</v>
      </c>
      <c r="J5" s="3353"/>
      <c r="K5" s="517"/>
      <c r="L5" s="2144"/>
      <c r="M5" s="2145"/>
      <c r="N5" s="2145"/>
      <c r="O5" s="2145"/>
      <c r="P5" s="3433"/>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434"/>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42923</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36" t="s">
        <v>531</v>
      </c>
      <c r="Q7" s="3336"/>
      <c r="R7" s="1574" t="s">
        <v>8</v>
      </c>
      <c r="S7" s="1575">
        <f t="shared" ref="S7:S15" si="0">F7</f>
        <v>0</v>
      </c>
      <c r="T7" s="1574" t="s">
        <v>8</v>
      </c>
      <c r="U7" s="1575">
        <f t="shared" ref="U7:U15" si="1">H7</f>
        <v>0</v>
      </c>
      <c r="V7" s="1574" t="s">
        <v>8</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36" t="s">
        <v>534</v>
      </c>
      <c r="Q8" s="3328"/>
      <c r="R8" s="1574" t="s">
        <v>8</v>
      </c>
      <c r="S8" s="1575">
        <f t="shared" si="0"/>
        <v>0</v>
      </c>
      <c r="T8" s="1574" t="s">
        <v>8</v>
      </c>
      <c r="U8" s="1575">
        <f t="shared" si="1"/>
        <v>0</v>
      </c>
      <c r="V8" s="1574" t="s">
        <v>8</v>
      </c>
      <c r="W8" s="1575">
        <f t="shared" si="2"/>
        <v>0</v>
      </c>
      <c r="X8" s="1576"/>
      <c r="Y8" s="3327" t="s">
        <v>534</v>
      </c>
      <c r="Z8" s="3328"/>
      <c r="AA8" s="1577" t="e">
        <f t="shared" ref="AA8:AA47" si="3">D8/F8</f>
        <v>#DIV/0!</v>
      </c>
      <c r="AB8" s="1577" t="e">
        <f t="shared" ref="AB8:AB47" si="4">D8/H8</f>
        <v>#DIV/0!</v>
      </c>
      <c r="AC8" s="1577" t="e">
        <f t="shared" ref="AC8:AC47" si="5">D8/J8</f>
        <v>#DIV/0!</v>
      </c>
    </row>
    <row r="9" spans="1:29" s="1223" customFormat="1" ht="15">
      <c r="A9" s="2954"/>
      <c r="B9" s="2961" t="s">
        <v>2774</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35"/>
      <c r="Q11" s="1154" t="str">
        <f t="shared" si="6"/>
        <v>容积率</v>
      </c>
      <c r="R11" s="1574" t="s">
        <v>8</v>
      </c>
      <c r="S11" s="1575" t="e">
        <f t="shared" si="0"/>
        <v>#N/A</v>
      </c>
      <c r="T11" s="1574" t="s">
        <v>8</v>
      </c>
      <c r="U11" s="1575" t="e">
        <f t="shared" si="1"/>
        <v>#N/A</v>
      </c>
      <c r="V11" s="1574" t="s">
        <v>8</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 t="shared" si="3"/>
        <v>1</v>
      </c>
      <c r="AB14" s="1577">
        <f t="shared" si="4"/>
        <v>1</v>
      </c>
      <c r="AC14" s="1577">
        <f t="shared" si="5"/>
        <v>1</v>
      </c>
    </row>
    <row r="15" spans="1:29" ht="71.25">
      <c r="A15" s="2950" t="s">
        <v>2772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37" t="s">
        <v>541</v>
      </c>
      <c r="Q15" s="1578" t="str">
        <f t="shared" si="6"/>
        <v>办公集聚程度</v>
      </c>
      <c r="R15" s="1579" t="s">
        <v>8</v>
      </c>
      <c r="S15" s="1580">
        <f t="shared" si="0"/>
        <v>100</v>
      </c>
      <c r="T15" s="1579" t="s">
        <v>8</v>
      </c>
      <c r="U15" s="1580">
        <f t="shared" si="1"/>
        <v>100</v>
      </c>
      <c r="V15" s="1579" t="s">
        <v>8</v>
      </c>
      <c r="W15" s="1580">
        <f t="shared" si="2"/>
        <v>100</v>
      </c>
      <c r="X15" s="1573"/>
      <c r="Y15" s="3337"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38"/>
      <c r="Q16" s="1578"/>
      <c r="R16" s="1579"/>
      <c r="S16" s="1580"/>
      <c r="T16" s="1579"/>
      <c r="U16" s="1580"/>
      <c r="V16" s="1579"/>
      <c r="W16" s="1580"/>
      <c r="X16" s="1573"/>
      <c r="Y16" s="3338"/>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38"/>
      <c r="Q17" s="1578" t="str">
        <f>B17</f>
        <v>交通便捷度</v>
      </c>
      <c r="R17" s="1579" t="s">
        <v>8</v>
      </c>
      <c r="S17" s="1580">
        <f>F17</f>
        <v>100</v>
      </c>
      <c r="T17" s="1579" t="s">
        <v>8</v>
      </c>
      <c r="U17" s="1580">
        <f>H17</f>
        <v>100</v>
      </c>
      <c r="V17" s="1579" t="s">
        <v>8</v>
      </c>
      <c r="W17" s="1580">
        <f>J17</f>
        <v>100</v>
      </c>
      <c r="X17" s="1573"/>
      <c r="Y17" s="3338"/>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38"/>
      <c r="Q18" s="1578"/>
      <c r="R18" s="1579"/>
      <c r="S18" s="1580"/>
      <c r="T18" s="1579"/>
      <c r="U18" s="1580"/>
      <c r="V18" s="1579"/>
      <c r="W18" s="1580"/>
      <c r="X18" s="1573"/>
      <c r="Y18" s="3338"/>
      <c r="Z18" s="1581"/>
      <c r="AA18" s="1582">
        <v>1</v>
      </c>
      <c r="AB18" s="1582">
        <v>1</v>
      </c>
      <c r="AC18" s="1582">
        <v>1</v>
      </c>
    </row>
    <row r="19" spans="1:29" ht="42.75">
      <c r="A19" s="535"/>
      <c r="B19" s="2639" t="s">
        <v>2561</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38"/>
      <c r="Q19" s="1578" t="str">
        <f>B19</f>
        <v>公共配套设施</v>
      </c>
      <c r="R19" s="1579" t="s">
        <v>8</v>
      </c>
      <c r="S19" s="1580">
        <f>F19</f>
        <v>100</v>
      </c>
      <c r="T19" s="1579" t="s">
        <v>8</v>
      </c>
      <c r="U19" s="1580">
        <f>H19</f>
        <v>100</v>
      </c>
      <c r="V19" s="1579" t="s">
        <v>8</v>
      </c>
      <c r="W19" s="1580">
        <f>J19</f>
        <v>100</v>
      </c>
      <c r="X19" s="1573"/>
      <c r="Y19" s="3338"/>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38"/>
      <c r="Q20" s="1578"/>
      <c r="R20" s="1579"/>
      <c r="S20" s="1580"/>
      <c r="T20" s="1579"/>
      <c r="U20" s="1580"/>
      <c r="V20" s="1579"/>
      <c r="W20" s="1580"/>
      <c r="X20" s="1573"/>
      <c r="Y20" s="3338"/>
      <c r="Z20" s="1581"/>
      <c r="AA20" s="1582">
        <v>1</v>
      </c>
      <c r="AB20" s="1582">
        <v>1</v>
      </c>
      <c r="AC20" s="1582">
        <v>1</v>
      </c>
    </row>
    <row r="21" spans="1:29" ht="28.5">
      <c r="A21" s="535"/>
      <c r="B21" s="2627" t="s">
        <v>2573</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38"/>
      <c r="Q21" s="2615" t="str">
        <f>B21</f>
        <v>基础设施水平</v>
      </c>
      <c r="R21" s="1579" t="s">
        <v>8</v>
      </c>
      <c r="S21" s="1580">
        <f>F21</f>
        <v>100</v>
      </c>
      <c r="T21" s="1579" t="s">
        <v>8</v>
      </c>
      <c r="U21" s="1580">
        <f>H21</f>
        <v>100</v>
      </c>
      <c r="V21" s="1579" t="s">
        <v>8</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38"/>
      <c r="Q22" s="2615"/>
      <c r="R22" s="1579"/>
      <c r="S22" s="1580"/>
      <c r="T22" s="1579"/>
      <c r="U22" s="1580"/>
      <c r="V22" s="1579"/>
      <c r="W22" s="1580"/>
      <c r="X22" s="2617"/>
      <c r="Y22" s="3338"/>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38"/>
      <c r="Q23" s="1578" t="str">
        <f>B23</f>
        <v>环境质量</v>
      </c>
      <c r="R23" s="1579" t="s">
        <v>8</v>
      </c>
      <c r="S23" s="1580">
        <f>F23</f>
        <v>100</v>
      </c>
      <c r="T23" s="1579" t="s">
        <v>8</v>
      </c>
      <c r="U23" s="1580">
        <f>H23</f>
        <v>100</v>
      </c>
      <c r="V23" s="1579" t="s">
        <v>8</v>
      </c>
      <c r="W23" s="1580">
        <f>J23</f>
        <v>100</v>
      </c>
      <c r="X23" s="1573"/>
      <c r="Y23" s="3338"/>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38"/>
      <c r="Q24" s="1578"/>
      <c r="R24" s="1579"/>
      <c r="S24" s="1580"/>
      <c r="T24" s="1579"/>
      <c r="U24" s="1580"/>
      <c r="V24" s="1579"/>
      <c r="W24" s="1580"/>
      <c r="X24" s="1573"/>
      <c r="Y24" s="3338"/>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38"/>
      <c r="Q25" s="1578" t="str">
        <f>B25</f>
        <v>毗邻道路的类型与等级</v>
      </c>
      <c r="R25" s="1579" t="s">
        <v>8</v>
      </c>
      <c r="S25" s="1580">
        <f>F25</f>
        <v>100</v>
      </c>
      <c r="T25" s="1579" t="s">
        <v>8</v>
      </c>
      <c r="U25" s="1580">
        <f>H25</f>
        <v>100</v>
      </c>
      <c r="V25" s="1579" t="s">
        <v>8</v>
      </c>
      <c r="W25" s="1580">
        <f>J25</f>
        <v>100</v>
      </c>
      <c r="X25" s="1573"/>
      <c r="Y25" s="3338"/>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38"/>
      <c r="Q26" s="1578"/>
      <c r="R26" s="1579"/>
      <c r="S26" s="1580"/>
      <c r="T26" s="1579"/>
      <c r="U26" s="1580"/>
      <c r="V26" s="1579"/>
      <c r="W26" s="1580"/>
      <c r="X26" s="1573"/>
      <c r="Y26" s="3338"/>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38"/>
      <c r="Q27" s="1578" t="str">
        <f t="shared" ref="Q27:Q47" si="11">B27</f>
        <v>楼层</v>
      </c>
      <c r="R27" s="1579" t="s">
        <v>8</v>
      </c>
      <c r="S27" s="1580">
        <f>F27</f>
        <v>100</v>
      </c>
      <c r="T27" s="1579" t="s">
        <v>8</v>
      </c>
      <c r="U27" s="1580">
        <f>H27</f>
        <v>100</v>
      </c>
      <c r="V27" s="1579" t="s">
        <v>8</v>
      </c>
      <c r="W27" s="1580">
        <f>J27</f>
        <v>100</v>
      </c>
      <c r="X27" s="1573"/>
      <c r="Y27" s="3338"/>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38"/>
      <c r="Q28" s="1154" t="str">
        <f t="shared" si="11"/>
        <v>朝向</v>
      </c>
      <c r="R28" s="1574" t="s">
        <v>8</v>
      </c>
      <c r="S28" s="1575">
        <f>F28</f>
        <v>100</v>
      </c>
      <c r="T28" s="1574" t="s">
        <v>8</v>
      </c>
      <c r="U28" s="1575">
        <f>H28</f>
        <v>100</v>
      </c>
      <c r="V28" s="1574" t="s">
        <v>8</v>
      </c>
      <c r="W28" s="1575">
        <f>J28</f>
        <v>100</v>
      </c>
      <c r="X28" s="1576"/>
      <c r="Y28" s="3338"/>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38"/>
      <c r="Q29" s="1578">
        <f t="shared" si="11"/>
        <v>111</v>
      </c>
      <c r="R29" s="1579" t="s">
        <v>8</v>
      </c>
      <c r="S29" s="1580">
        <f t="shared" ref="S29:S47" si="12">F29</f>
        <v>100</v>
      </c>
      <c r="T29" s="1579" t="s">
        <v>8</v>
      </c>
      <c r="U29" s="1580">
        <f t="shared" ref="U29:U47" si="13">H29</f>
        <v>100</v>
      </c>
      <c r="V29" s="1579" t="s">
        <v>8</v>
      </c>
      <c r="W29" s="1580">
        <f t="shared" ref="W29:W47" si="14">J29</f>
        <v>100</v>
      </c>
      <c r="X29" s="1573"/>
      <c r="Y29" s="3338"/>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38"/>
      <c r="Q30" s="1578">
        <f t="shared" si="11"/>
        <v>111</v>
      </c>
      <c r="R30" s="1579" t="s">
        <v>8</v>
      </c>
      <c r="S30" s="1580">
        <f t="shared" si="12"/>
        <v>100</v>
      </c>
      <c r="T30" s="1579" t="s">
        <v>8</v>
      </c>
      <c r="U30" s="1580">
        <f t="shared" si="13"/>
        <v>100</v>
      </c>
      <c r="V30" s="1579" t="s">
        <v>8</v>
      </c>
      <c r="W30" s="1580">
        <f t="shared" si="14"/>
        <v>100</v>
      </c>
      <c r="X30" s="1573"/>
      <c r="Y30" s="3338"/>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38"/>
      <c r="Q31" s="1578">
        <f t="shared" si="11"/>
        <v>111</v>
      </c>
      <c r="R31" s="1579" t="s">
        <v>8</v>
      </c>
      <c r="S31" s="1580">
        <f t="shared" si="12"/>
        <v>100</v>
      </c>
      <c r="T31" s="1579" t="s">
        <v>8</v>
      </c>
      <c r="U31" s="1580">
        <f t="shared" si="13"/>
        <v>100</v>
      </c>
      <c r="V31" s="1579" t="s">
        <v>8</v>
      </c>
      <c r="W31" s="1580">
        <f t="shared" si="14"/>
        <v>100</v>
      </c>
      <c r="X31" s="1573"/>
      <c r="Y31" s="3338"/>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38"/>
      <c r="Q32" s="1578">
        <f t="shared" si="11"/>
        <v>111</v>
      </c>
      <c r="R32" s="1579" t="s">
        <v>8</v>
      </c>
      <c r="S32" s="1580">
        <f t="shared" si="12"/>
        <v>100</v>
      </c>
      <c r="T32" s="1579" t="s">
        <v>8</v>
      </c>
      <c r="U32" s="1580">
        <f t="shared" si="13"/>
        <v>100</v>
      </c>
      <c r="V32" s="1579" t="s">
        <v>8</v>
      </c>
      <c r="W32" s="1580">
        <f t="shared" si="14"/>
        <v>100</v>
      </c>
      <c r="X32" s="1573"/>
      <c r="Y32" s="3338"/>
      <c r="Z32" s="1581">
        <f t="shared" si="15"/>
        <v>111</v>
      </c>
      <c r="AA32" s="1582">
        <f t="shared" si="3"/>
        <v>1</v>
      </c>
      <c r="AB32" s="1582">
        <f t="shared" si="4"/>
        <v>1</v>
      </c>
      <c r="AC32" s="1582">
        <f t="shared" si="5"/>
        <v>1</v>
      </c>
    </row>
    <row r="33" spans="1:29" ht="15">
      <c r="A33" s="2947" t="s">
        <v>2773</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39" t="s">
        <v>551</v>
      </c>
      <c r="Q33" s="1578" t="str">
        <f t="shared" si="11"/>
        <v>建筑类型</v>
      </c>
      <c r="R33" s="1579" t="s">
        <v>8</v>
      </c>
      <c r="S33" s="1580">
        <f t="shared" si="12"/>
        <v>100</v>
      </c>
      <c r="T33" s="1579" t="s">
        <v>8</v>
      </c>
      <c r="U33" s="1580">
        <f t="shared" si="13"/>
        <v>100</v>
      </c>
      <c r="V33" s="1579" t="s">
        <v>8</v>
      </c>
      <c r="W33" s="1580">
        <f t="shared" si="14"/>
        <v>100</v>
      </c>
      <c r="X33" s="1573"/>
      <c r="Y33" s="3340"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40"/>
      <c r="Q34" s="1611" t="str">
        <f t="shared" si="11"/>
        <v>项目建筑规模</v>
      </c>
      <c r="R34" s="1583" t="s">
        <v>8</v>
      </c>
      <c r="S34" s="1584" t="e">
        <f t="shared" si="12"/>
        <v>#N/A</v>
      </c>
      <c r="T34" s="1583" t="s">
        <v>8</v>
      </c>
      <c r="U34" s="1584" t="e">
        <f t="shared" si="13"/>
        <v>#N/A</v>
      </c>
      <c r="V34" s="1583" t="s">
        <v>8</v>
      </c>
      <c r="W34" s="1584" t="e">
        <f t="shared" si="14"/>
        <v>#N/A</v>
      </c>
      <c r="X34" s="1585"/>
      <c r="Y34" s="3340"/>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40"/>
      <c r="Q35" s="1578" t="str">
        <f t="shared" si="11"/>
        <v>建筑结构</v>
      </c>
      <c r="R35" s="1579" t="s">
        <v>8</v>
      </c>
      <c r="S35" s="1580">
        <f t="shared" si="12"/>
        <v>100</v>
      </c>
      <c r="T35" s="1579" t="s">
        <v>8</v>
      </c>
      <c r="U35" s="1580">
        <f t="shared" si="13"/>
        <v>100</v>
      </c>
      <c r="V35" s="1579" t="s">
        <v>8</v>
      </c>
      <c r="W35" s="1580">
        <f t="shared" si="14"/>
        <v>100</v>
      </c>
      <c r="X35" s="1573"/>
      <c r="Y35" s="3340"/>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40"/>
      <c r="Q36" s="1578" t="str">
        <f t="shared" si="11"/>
        <v>公共部分装修</v>
      </c>
      <c r="R36" s="1579" t="s">
        <v>8</v>
      </c>
      <c r="S36" s="1580">
        <f t="shared" si="12"/>
        <v>100</v>
      </c>
      <c r="T36" s="1579" t="s">
        <v>8</v>
      </c>
      <c r="U36" s="1580">
        <f t="shared" si="13"/>
        <v>100</v>
      </c>
      <c r="V36" s="1579" t="s">
        <v>8</v>
      </c>
      <c r="W36" s="1580">
        <f t="shared" si="14"/>
        <v>100</v>
      </c>
      <c r="X36" s="1573"/>
      <c r="Y36" s="3340"/>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40"/>
      <c r="Q37" s="1578" t="str">
        <f t="shared" si="11"/>
        <v>成新度</v>
      </c>
      <c r="R37" s="1579" t="s">
        <v>8</v>
      </c>
      <c r="S37" s="1580" t="e">
        <f t="shared" si="12"/>
        <v>#N/A</v>
      </c>
      <c r="T37" s="1579" t="s">
        <v>8</v>
      </c>
      <c r="U37" s="1580" t="e">
        <f t="shared" si="13"/>
        <v>#N/A</v>
      </c>
      <c r="V37" s="1579" t="s">
        <v>8</v>
      </c>
      <c r="W37" s="1580" t="e">
        <f t="shared" si="14"/>
        <v>#N/A</v>
      </c>
      <c r="X37" s="1573"/>
      <c r="Y37" s="3340"/>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40"/>
      <c r="Q38" s="1154" t="str">
        <f t="shared" si="11"/>
        <v>写字楼等级</v>
      </c>
      <c r="R38" s="1574" t="s">
        <v>8</v>
      </c>
      <c r="S38" s="1575">
        <f t="shared" si="12"/>
        <v>100</v>
      </c>
      <c r="T38" s="1574" t="s">
        <v>8</v>
      </c>
      <c r="U38" s="1575">
        <f t="shared" si="13"/>
        <v>100</v>
      </c>
      <c r="V38" s="1574" t="s">
        <v>8</v>
      </c>
      <c r="W38" s="1575">
        <f t="shared" si="14"/>
        <v>100</v>
      </c>
      <c r="X38" s="1576"/>
      <c r="Y38" s="3340"/>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40" t="s">
        <v>551</v>
      </c>
      <c r="Q39" s="1578" t="str">
        <f t="shared" si="11"/>
        <v>物业管理</v>
      </c>
      <c r="R39" s="1579" t="s">
        <v>8</v>
      </c>
      <c r="S39" s="1580">
        <f t="shared" si="12"/>
        <v>100</v>
      </c>
      <c r="T39" s="1579" t="s">
        <v>8</v>
      </c>
      <c r="U39" s="1580">
        <f t="shared" si="13"/>
        <v>100</v>
      </c>
      <c r="V39" s="1579" t="s">
        <v>8</v>
      </c>
      <c r="W39" s="1580">
        <f t="shared" si="14"/>
        <v>100</v>
      </c>
      <c r="X39" s="1573"/>
      <c r="Y39" s="3340" t="s">
        <v>551</v>
      </c>
      <c r="Z39" s="1581" t="str">
        <f t="shared" si="15"/>
        <v>物业管理</v>
      </c>
      <c r="AA39" s="1582">
        <f t="shared" si="3"/>
        <v>1</v>
      </c>
      <c r="AB39" s="1582">
        <f t="shared" si="4"/>
        <v>1</v>
      </c>
      <c r="AC39" s="1582">
        <f t="shared" si="5"/>
        <v>1</v>
      </c>
    </row>
    <row r="40" spans="1:29" ht="15">
      <c r="A40" s="597"/>
      <c r="B40" s="1902" t="s">
        <v>2580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40"/>
      <c r="Q40" s="1578" t="str">
        <f t="shared" si="11"/>
        <v>市政基础设施</v>
      </c>
      <c r="R40" s="1579" t="s">
        <v>8</v>
      </c>
      <c r="S40" s="1580">
        <f t="shared" si="12"/>
        <v>100</v>
      </c>
      <c r="T40" s="1579" t="s">
        <v>8</v>
      </c>
      <c r="U40" s="1580">
        <f t="shared" si="13"/>
        <v>100</v>
      </c>
      <c r="V40" s="1579" t="s">
        <v>8</v>
      </c>
      <c r="W40" s="1580">
        <f t="shared" si="14"/>
        <v>100</v>
      </c>
      <c r="X40" s="1573"/>
      <c r="Y40" s="3340"/>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40"/>
      <c r="Q41" s="1578" t="str">
        <f t="shared" si="11"/>
        <v>层高</v>
      </c>
      <c r="R41" s="1579" t="s">
        <v>8</v>
      </c>
      <c r="S41" s="1580">
        <f t="shared" si="12"/>
        <v>100</v>
      </c>
      <c r="T41" s="1579" t="s">
        <v>8</v>
      </c>
      <c r="U41" s="1580">
        <f t="shared" si="13"/>
        <v>100</v>
      </c>
      <c r="V41" s="1579" t="s">
        <v>8</v>
      </c>
      <c r="W41" s="1580">
        <f t="shared" si="14"/>
        <v>100</v>
      </c>
      <c r="X41" s="1573"/>
      <c r="Y41" s="3340"/>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40"/>
      <c r="Q42" s="1611" t="str">
        <f t="shared" si="11"/>
        <v>单套建筑面积</v>
      </c>
      <c r="R42" s="1583" t="s">
        <v>8</v>
      </c>
      <c r="S42" s="1584">
        <f t="shared" si="12"/>
        <v>100</v>
      </c>
      <c r="T42" s="1583" t="s">
        <v>8</v>
      </c>
      <c r="U42" s="1584">
        <f t="shared" si="13"/>
        <v>100</v>
      </c>
      <c r="V42" s="1583" t="s">
        <v>8</v>
      </c>
      <c r="W42" s="1584">
        <f t="shared" si="14"/>
        <v>100</v>
      </c>
      <c r="X42" s="1585"/>
      <c r="Y42" s="3340"/>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40"/>
      <c r="Q43" s="1578" t="str">
        <f t="shared" si="11"/>
        <v>内部装修</v>
      </c>
      <c r="R43" s="1579" t="s">
        <v>8</v>
      </c>
      <c r="S43" s="1580">
        <f t="shared" si="12"/>
        <v>100</v>
      </c>
      <c r="T43" s="1579" t="s">
        <v>8</v>
      </c>
      <c r="U43" s="1580">
        <f t="shared" si="13"/>
        <v>100</v>
      </c>
      <c r="V43" s="1579" t="s">
        <v>8</v>
      </c>
      <c r="W43" s="1580">
        <f t="shared" si="14"/>
        <v>100</v>
      </c>
      <c r="X43" s="1573"/>
      <c r="Y43" s="3340"/>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40"/>
      <c r="Q44" s="1578" t="str">
        <f t="shared" si="11"/>
        <v>内部装修维护情况</v>
      </c>
      <c r="R44" s="1579" t="s">
        <v>8</v>
      </c>
      <c r="S44" s="1580">
        <f t="shared" si="12"/>
        <v>100</v>
      </c>
      <c r="T44" s="1579" t="s">
        <v>8</v>
      </c>
      <c r="U44" s="1580">
        <f t="shared" si="13"/>
        <v>100</v>
      </c>
      <c r="V44" s="1579" t="s">
        <v>8</v>
      </c>
      <c r="W44" s="1580">
        <f t="shared" si="14"/>
        <v>100</v>
      </c>
      <c r="X44" s="1573"/>
      <c r="Y44" s="3340"/>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40"/>
      <c r="Q45" s="1154">
        <f t="shared" si="11"/>
        <v>111</v>
      </c>
      <c r="R45" s="1574" t="s">
        <v>8</v>
      </c>
      <c r="S45" s="1575">
        <f t="shared" si="12"/>
        <v>100</v>
      </c>
      <c r="T45" s="1574" t="s">
        <v>8</v>
      </c>
      <c r="U45" s="1575">
        <f t="shared" si="13"/>
        <v>100</v>
      </c>
      <c r="V45" s="1574" t="s">
        <v>8</v>
      </c>
      <c r="W45" s="1575">
        <f t="shared" si="14"/>
        <v>100</v>
      </c>
      <c r="X45" s="1576"/>
      <c r="Y45" s="3340"/>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40"/>
      <c r="Q46" s="1578">
        <f t="shared" si="11"/>
        <v>111</v>
      </c>
      <c r="R46" s="1579" t="s">
        <v>8</v>
      </c>
      <c r="S46" s="1580">
        <f t="shared" si="12"/>
        <v>100</v>
      </c>
      <c r="T46" s="1579" t="s">
        <v>8</v>
      </c>
      <c r="U46" s="1580">
        <f t="shared" si="13"/>
        <v>100</v>
      </c>
      <c r="V46" s="1579" t="s">
        <v>8</v>
      </c>
      <c r="W46" s="1580">
        <f t="shared" si="14"/>
        <v>100</v>
      </c>
      <c r="X46" s="1573"/>
      <c r="Y46" s="3340"/>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1"/>
      <c r="Q47" s="1578">
        <f t="shared" si="11"/>
        <v>111</v>
      </c>
      <c r="R47" s="1579" t="s">
        <v>8</v>
      </c>
      <c r="S47" s="1580">
        <f t="shared" si="12"/>
        <v>100</v>
      </c>
      <c r="T47" s="1579" t="s">
        <v>8</v>
      </c>
      <c r="U47" s="1580">
        <f t="shared" si="13"/>
        <v>100</v>
      </c>
      <c r="V47" s="1579" t="s">
        <v>8</v>
      </c>
      <c r="W47" s="1580">
        <f t="shared" si="14"/>
        <v>100</v>
      </c>
      <c r="X47" s="1573"/>
      <c r="Y47" s="3431"/>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57" t="str">
        <f>A48</f>
        <v>成交单价（元/平方米）</v>
      </c>
      <c r="Q48" s="3335"/>
      <c r="R48" s="3430">
        <f>E48</f>
        <v>0</v>
      </c>
      <c r="S48" s="3430"/>
      <c r="T48" s="3430">
        <f>G48</f>
        <v>0</v>
      </c>
      <c r="U48" s="3430"/>
      <c r="V48" s="3430">
        <f>I48</f>
        <v>0</v>
      </c>
      <c r="W48" s="3430"/>
      <c r="X48" s="1565"/>
      <c r="Y48" s="1587"/>
      <c r="Z48" s="1565"/>
      <c r="AA48" s="1565"/>
      <c r="AB48" s="1565"/>
      <c r="AC48" s="1565"/>
    </row>
    <row r="49" spans="1:29" ht="15.75" thickBot="1">
      <c r="A49" s="618" t="s">
        <v>2778</v>
      </c>
      <c r="B49" s="891"/>
      <c r="C49" s="2669" t="e">
        <f>R50</f>
        <v>#DIV/0!</v>
      </c>
      <c r="D49" s="2670"/>
      <c r="E49" s="2671" t="e">
        <f>R49</f>
        <v>#DIV/0!</v>
      </c>
      <c r="F49" s="2671"/>
      <c r="G49" s="2669" t="e">
        <f>T49</f>
        <v>#DIV/0!</v>
      </c>
      <c r="H49" s="2670"/>
      <c r="I49" s="2671" t="e">
        <f>V49</f>
        <v>#DIV/0!</v>
      </c>
      <c r="J49" s="2670"/>
      <c r="K49" s="1618"/>
      <c r="L49" s="2155"/>
      <c r="M49" s="2145"/>
      <c r="N49" s="2145"/>
      <c r="O49" s="2145"/>
      <c r="P49" s="3357" t="str">
        <f>A49</f>
        <v>比较价格（元/平方米）</v>
      </c>
      <c r="Q49" s="3335"/>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1565"/>
      <c r="Y49" s="1565"/>
      <c r="Z49" s="1565"/>
      <c r="AA49" s="1565"/>
      <c r="AB49" s="1565"/>
      <c r="AC49" s="1565"/>
    </row>
    <row r="50" spans="1:29" ht="15.75" thickBot="1">
      <c r="A50" s="624" t="s">
        <v>2955</v>
      </c>
      <c r="B50" s="625"/>
      <c r="C50" s="2672" t="e">
        <f>R50</f>
        <v>#DIV/0!</v>
      </c>
      <c r="D50" s="2672"/>
      <c r="E50" s="2672"/>
      <c r="F50" s="2672"/>
      <c r="G50" s="2672"/>
      <c r="H50" s="2672"/>
      <c r="I50" s="2672"/>
      <c r="J50" s="2672"/>
      <c r="K50" s="1619"/>
      <c r="L50" s="2155"/>
      <c r="M50" s="2145"/>
      <c r="N50" s="2145"/>
      <c r="O50" s="2145"/>
      <c r="P50" s="3435" t="str">
        <f>A50</f>
        <v>估价对象XX用房的比较价格（楼面单价，元/平方米）</v>
      </c>
      <c r="Q50" s="3357"/>
      <c r="R50" s="3429" t="e">
        <f>IF(F1="售价",ROUND(AVERAGE(R49:V49),0),ROUND(AVERAGE(R49:V49),1))</f>
        <v>#DIV/0!</v>
      </c>
      <c r="S50" s="3429"/>
      <c r="T50" s="3429"/>
      <c r="U50" s="3429"/>
      <c r="V50" s="3429"/>
      <c r="W50" s="3429"/>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2572</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2573</v>
      </c>
      <c r="C83" s="2634" t="s">
        <v>2574</v>
      </c>
      <c r="D83" s="2634" t="s">
        <v>2575</v>
      </c>
      <c r="E83" s="2634" t="s">
        <v>2576</v>
      </c>
      <c r="F83" s="2634" t="s">
        <v>2577</v>
      </c>
      <c r="G83" s="2634" t="s">
        <v>2578</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2571</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41" t="s">
        <v>523</v>
      </c>
      <c r="D4" s="3342"/>
      <c r="E4" s="3365" t="s">
        <v>524</v>
      </c>
      <c r="F4" s="3366"/>
      <c r="G4" s="3341" t="s">
        <v>525</v>
      </c>
      <c r="H4" s="3342"/>
      <c r="I4" s="3341" t="s">
        <v>526</v>
      </c>
      <c r="J4" s="3342"/>
      <c r="K4" s="517" t="s">
        <v>527</v>
      </c>
      <c r="L4" s="2144"/>
      <c r="M4" s="2145"/>
      <c r="N4" s="2145"/>
      <c r="O4" s="2145"/>
      <c r="P4" s="3343" t="s">
        <v>528</v>
      </c>
      <c r="Q4" s="3344"/>
      <c r="R4" s="3329" t="s">
        <v>524</v>
      </c>
      <c r="S4" s="3330"/>
      <c r="T4" s="3329" t="s">
        <v>525</v>
      </c>
      <c r="U4" s="3330"/>
      <c r="V4" s="3349" t="s">
        <v>526</v>
      </c>
      <c r="W4" s="3349"/>
      <c r="X4" s="1573"/>
      <c r="Y4" s="3329" t="s">
        <v>528</v>
      </c>
      <c r="Z4" s="3330"/>
      <c r="AA4" s="3324" t="s">
        <v>524</v>
      </c>
      <c r="AB4" s="3325" t="s">
        <v>525</v>
      </c>
      <c r="AC4" s="3324" t="s">
        <v>526</v>
      </c>
    </row>
    <row r="5" spans="1:29" ht="15">
      <c r="A5" s="518"/>
      <c r="B5" s="519"/>
      <c r="C5" s="3352" t="s">
        <v>2949</v>
      </c>
      <c r="D5" s="3353"/>
      <c r="E5" s="3367" t="s">
        <v>2950</v>
      </c>
      <c r="F5" s="3368"/>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42923</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27" t="s">
        <v>531</v>
      </c>
      <c r="Q7" s="3336"/>
      <c r="R7" s="1574" t="s">
        <v>8</v>
      </c>
      <c r="S7" s="1575">
        <f t="shared" ref="S7:S15" si="0">F7</f>
        <v>0</v>
      </c>
      <c r="T7" s="1574" t="s">
        <v>8</v>
      </c>
      <c r="U7" s="1575">
        <f t="shared" ref="U7:U15" si="1">H7</f>
        <v>0</v>
      </c>
      <c r="V7" s="1574" t="s">
        <v>8</v>
      </c>
      <c r="W7" s="1575">
        <f t="shared" ref="W7:W15"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40" si="3">D8/F8</f>
        <v>#DIV/0!</v>
      </c>
      <c r="AB8" s="1577" t="e">
        <f t="shared" ref="AB8:AB40" si="4">D8/H8</f>
        <v>#DIV/0!</v>
      </c>
      <c r="AC8" s="1577" t="e">
        <f t="shared" ref="AC8:AC40" si="5">D8/J8</f>
        <v>#DIV/0!</v>
      </c>
    </row>
    <row r="9" spans="1:29" s="1223" customFormat="1" ht="15">
      <c r="A9" s="2954"/>
      <c r="B9" s="2961" t="s">
        <v>2774</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35" t="s">
        <v>536</v>
      </c>
      <c r="Q9" s="1154" t="str">
        <f t="shared" ref="Q9:Q15" si="6">B9</f>
        <v>用途</v>
      </c>
      <c r="R9" s="1574" t="s">
        <v>8</v>
      </c>
      <c r="S9" s="1575">
        <f t="shared" si="0"/>
        <v>100</v>
      </c>
      <c r="T9" s="1574" t="s">
        <v>8</v>
      </c>
      <c r="U9" s="1575">
        <f t="shared" si="1"/>
        <v>100</v>
      </c>
      <c r="V9" s="1574" t="s">
        <v>8</v>
      </c>
      <c r="W9" s="1575">
        <f t="shared" si="2"/>
        <v>100</v>
      </c>
      <c r="X9" s="1576"/>
      <c r="Y9" s="3292" t="s">
        <v>537</v>
      </c>
      <c r="Z9" s="1153" t="str">
        <f t="shared" ref="Z9:Z15" si="7">Q9</f>
        <v>用途</v>
      </c>
      <c r="AA9" s="1577">
        <f t="shared" si="3"/>
        <v>1</v>
      </c>
      <c r="AB9" s="1577">
        <f t="shared" si="4"/>
        <v>1</v>
      </c>
      <c r="AC9" s="1577">
        <f t="shared" si="5"/>
        <v>1</v>
      </c>
    </row>
    <row r="10" spans="1:29" s="1341" customFormat="1" ht="27">
      <c r="A10" s="2955"/>
      <c r="B10" s="2960" t="s">
        <v>2775</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6"/>
      <c r="B11" s="2960" t="s">
        <v>2776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35"/>
      <c r="Q11" s="1154" t="str">
        <f t="shared" si="6"/>
        <v>容积率</v>
      </c>
      <c r="R11" s="1574" t="s">
        <v>8</v>
      </c>
      <c r="S11" s="1575" t="e">
        <f t="shared" si="0"/>
        <v>#N/A</v>
      </c>
      <c r="T11" s="1574" t="s">
        <v>8</v>
      </c>
      <c r="U11" s="1575" t="e">
        <f t="shared" si="1"/>
        <v>#N/A</v>
      </c>
      <c r="V11" s="1574" t="s">
        <v>8</v>
      </c>
      <c r="W11" s="1575" t="e">
        <f t="shared" si="2"/>
        <v>#N/A</v>
      </c>
      <c r="X11" s="1576"/>
      <c r="Y11" s="3292"/>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35"/>
      <c r="Q14" s="1154">
        <f t="shared" si="6"/>
        <v>111</v>
      </c>
      <c r="R14" s="1574" t="s">
        <v>8</v>
      </c>
      <c r="S14" s="1575">
        <f t="shared" si="0"/>
        <v>100</v>
      </c>
      <c r="T14" s="1574" t="s">
        <v>8</v>
      </c>
      <c r="U14" s="1575">
        <f t="shared" si="1"/>
        <v>100</v>
      </c>
      <c r="V14" s="1574" t="s">
        <v>8</v>
      </c>
      <c r="W14" s="1575">
        <f t="shared" si="2"/>
        <v>100</v>
      </c>
      <c r="X14" s="1576"/>
      <c r="Y14" s="3292"/>
      <c r="Z14" s="1153">
        <f t="shared" si="7"/>
        <v>111</v>
      </c>
      <c r="AA14" s="1577">
        <f t="shared" si="3"/>
        <v>1</v>
      </c>
      <c r="AB14" s="1577">
        <f t="shared" si="4"/>
        <v>1</v>
      </c>
      <c r="AC14" s="1577">
        <f t="shared" si="5"/>
        <v>1</v>
      </c>
    </row>
    <row r="15" spans="1:29" ht="57">
      <c r="A15" s="2950" t="s">
        <v>2772</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37" t="s">
        <v>541</v>
      </c>
      <c r="Q15" s="1578" t="str">
        <f t="shared" si="6"/>
        <v>产业集聚程度</v>
      </c>
      <c r="R15" s="1579" t="s">
        <v>8</v>
      </c>
      <c r="S15" s="1580">
        <f t="shared" si="0"/>
        <v>100</v>
      </c>
      <c r="T15" s="1579" t="s">
        <v>8</v>
      </c>
      <c r="U15" s="1580">
        <f t="shared" si="1"/>
        <v>100</v>
      </c>
      <c r="V15" s="1579" t="s">
        <v>8</v>
      </c>
      <c r="W15" s="1580">
        <f t="shared" si="2"/>
        <v>100</v>
      </c>
      <c r="X15" s="1573"/>
      <c r="Y15" s="3337"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38"/>
      <c r="Q16" s="1578"/>
      <c r="R16" s="1579"/>
      <c r="S16" s="1580"/>
      <c r="T16" s="1579"/>
      <c r="U16" s="1580"/>
      <c r="V16" s="1579"/>
      <c r="W16" s="1580"/>
      <c r="X16" s="1573"/>
      <c r="Y16" s="3338"/>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38"/>
      <c r="Q17" s="1578" t="str">
        <f>B17</f>
        <v>交通便捷度</v>
      </c>
      <c r="R17" s="1579" t="s">
        <v>8</v>
      </c>
      <c r="S17" s="1580">
        <f>F17</f>
        <v>100</v>
      </c>
      <c r="T17" s="1579" t="s">
        <v>8</v>
      </c>
      <c r="U17" s="1580">
        <f>H17</f>
        <v>100</v>
      </c>
      <c r="V17" s="1579" t="s">
        <v>8</v>
      </c>
      <c r="W17" s="1580">
        <f>J17</f>
        <v>100</v>
      </c>
      <c r="X17" s="1573"/>
      <c r="Y17" s="3338"/>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38"/>
      <c r="Q18" s="1578"/>
      <c r="R18" s="1579"/>
      <c r="S18" s="1580"/>
      <c r="T18" s="1579"/>
      <c r="U18" s="1580"/>
      <c r="V18" s="1579"/>
      <c r="W18" s="1580"/>
      <c r="X18" s="1573"/>
      <c r="Y18" s="3338"/>
      <c r="Z18" s="1581"/>
      <c r="AA18" s="1582">
        <v>1</v>
      </c>
      <c r="AB18" s="1582">
        <v>1</v>
      </c>
      <c r="AC18" s="1582">
        <v>1</v>
      </c>
    </row>
    <row r="19" spans="1:29" ht="42.75">
      <c r="A19" s="535"/>
      <c r="B19" s="2639" t="s">
        <v>2561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38"/>
      <c r="Q19" s="1578" t="str">
        <f>B19</f>
        <v>公共配套设施</v>
      </c>
      <c r="R19" s="1579" t="s">
        <v>8</v>
      </c>
      <c r="S19" s="1580">
        <f>F19</f>
        <v>100</v>
      </c>
      <c r="T19" s="1579" t="s">
        <v>8</v>
      </c>
      <c r="U19" s="1580">
        <f>H19</f>
        <v>100</v>
      </c>
      <c r="V19" s="1579" t="s">
        <v>8</v>
      </c>
      <c r="W19" s="1580">
        <f>J19</f>
        <v>100</v>
      </c>
      <c r="X19" s="1573"/>
      <c r="Y19" s="3338"/>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38"/>
      <c r="Q20" s="1578"/>
      <c r="R20" s="1579"/>
      <c r="S20" s="1580"/>
      <c r="T20" s="1579"/>
      <c r="U20" s="1580"/>
      <c r="V20" s="1579"/>
      <c r="W20" s="1580"/>
      <c r="X20" s="1573"/>
      <c r="Y20" s="3338"/>
      <c r="Z20" s="1581"/>
      <c r="AA20" s="1582">
        <v>1</v>
      </c>
      <c r="AB20" s="1582">
        <v>1</v>
      </c>
      <c r="AC20" s="1582">
        <v>1</v>
      </c>
    </row>
    <row r="21" spans="1:29" ht="28.5">
      <c r="A21" s="535"/>
      <c r="B21" s="2627" t="s">
        <v>2573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38"/>
      <c r="Q21" s="2615" t="str">
        <f>B21</f>
        <v>基础设施水平</v>
      </c>
      <c r="R21" s="1579" t="s">
        <v>8</v>
      </c>
      <c r="S21" s="1580">
        <f>F21</f>
        <v>100</v>
      </c>
      <c r="T21" s="1579" t="s">
        <v>8</v>
      </c>
      <c r="U21" s="1580">
        <f>H21</f>
        <v>100</v>
      </c>
      <c r="V21" s="1579" t="s">
        <v>8</v>
      </c>
      <c r="W21" s="1580">
        <f>J21</f>
        <v>100</v>
      </c>
      <c r="X21" s="2617"/>
      <c r="Y21" s="3338"/>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38"/>
      <c r="Q22" s="2615"/>
      <c r="R22" s="1579"/>
      <c r="S22" s="1580"/>
      <c r="T22" s="1579"/>
      <c r="U22" s="1580"/>
      <c r="V22" s="1579"/>
      <c r="W22" s="1580"/>
      <c r="X22" s="2617"/>
      <c r="Y22" s="3338"/>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38"/>
      <c r="Q23" s="1578" t="str">
        <f>B23</f>
        <v>环境质量</v>
      </c>
      <c r="R23" s="1579" t="s">
        <v>8</v>
      </c>
      <c r="S23" s="1580">
        <f>F23</f>
        <v>100</v>
      </c>
      <c r="T23" s="1579" t="s">
        <v>8</v>
      </c>
      <c r="U23" s="1580">
        <f>H23</f>
        <v>100</v>
      </c>
      <c r="V23" s="1579" t="s">
        <v>8</v>
      </c>
      <c r="W23" s="1580">
        <f>J23</f>
        <v>100</v>
      </c>
      <c r="X23" s="1573"/>
      <c r="Y23" s="3338"/>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38"/>
      <c r="Q24" s="1578"/>
      <c r="R24" s="1579"/>
      <c r="S24" s="1580"/>
      <c r="T24" s="1579"/>
      <c r="U24" s="1580"/>
      <c r="V24" s="1579"/>
      <c r="W24" s="1580"/>
      <c r="X24" s="1573"/>
      <c r="Y24" s="3338"/>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38"/>
      <c r="Q25" s="1578">
        <f>B25</f>
        <v>111</v>
      </c>
      <c r="R25" s="1579" t="s">
        <v>8</v>
      </c>
      <c r="S25" s="1580">
        <f>F25</f>
        <v>100</v>
      </c>
      <c r="T25" s="1579" t="s">
        <v>8</v>
      </c>
      <c r="U25" s="1580">
        <f>H25</f>
        <v>100</v>
      </c>
      <c r="V25" s="1579" t="s">
        <v>8</v>
      </c>
      <c r="W25" s="1580">
        <f>J25</f>
        <v>100</v>
      </c>
      <c r="X25" s="1573"/>
      <c r="Y25" s="3338"/>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38"/>
      <c r="Q26" s="1578">
        <f t="shared" ref="Q26:Q40" si="11">B26</f>
        <v>111</v>
      </c>
      <c r="R26" s="1579" t="s">
        <v>8</v>
      </c>
      <c r="S26" s="1580">
        <f>F26</f>
        <v>100</v>
      </c>
      <c r="T26" s="1579" t="s">
        <v>8</v>
      </c>
      <c r="U26" s="1580">
        <f>H26</f>
        <v>100</v>
      </c>
      <c r="V26" s="1579" t="s">
        <v>8</v>
      </c>
      <c r="W26" s="1580">
        <f>J26</f>
        <v>100</v>
      </c>
      <c r="X26" s="1573"/>
      <c r="Y26" s="3338"/>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38"/>
      <c r="Q27" s="1154">
        <f t="shared" si="11"/>
        <v>111</v>
      </c>
      <c r="R27" s="1574" t="s">
        <v>8</v>
      </c>
      <c r="S27" s="1575">
        <f>F27</f>
        <v>100</v>
      </c>
      <c r="T27" s="1574" t="s">
        <v>8</v>
      </c>
      <c r="U27" s="1575">
        <f>H27</f>
        <v>100</v>
      </c>
      <c r="V27" s="1574" t="s">
        <v>8</v>
      </c>
      <c r="W27" s="1575">
        <f>J27</f>
        <v>100</v>
      </c>
      <c r="X27" s="1576"/>
      <c r="Y27" s="3338"/>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38"/>
      <c r="Q28" s="1578">
        <f t="shared" si="11"/>
        <v>111</v>
      </c>
      <c r="R28" s="1579" t="s">
        <v>8</v>
      </c>
      <c r="S28" s="1580">
        <f t="shared" ref="S28:S40" si="12">F28</f>
        <v>100</v>
      </c>
      <c r="T28" s="1579" t="s">
        <v>8</v>
      </c>
      <c r="U28" s="1580">
        <f t="shared" ref="U28:U40" si="13">H28</f>
        <v>100</v>
      </c>
      <c r="V28" s="1579" t="s">
        <v>8</v>
      </c>
      <c r="W28" s="1580">
        <f t="shared" ref="W28:W40" si="14">J28</f>
        <v>100</v>
      </c>
      <c r="X28" s="1573"/>
      <c r="Y28" s="3338"/>
      <c r="Z28" s="1581">
        <f t="shared" ref="Z28:Z40" si="15">Q28</f>
        <v>111</v>
      </c>
      <c r="AA28" s="1582">
        <f t="shared" si="3"/>
        <v>1</v>
      </c>
      <c r="AB28" s="1582">
        <f t="shared" si="4"/>
        <v>1</v>
      </c>
      <c r="AC28" s="1582">
        <f t="shared" si="5"/>
        <v>1</v>
      </c>
    </row>
    <row r="29" spans="1:29" ht="15">
      <c r="A29" s="2947" t="s">
        <v>2773</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39" t="s">
        <v>551</v>
      </c>
      <c r="Q29" s="1578" t="str">
        <f t="shared" si="11"/>
        <v>建筑类型</v>
      </c>
      <c r="R29" s="1579" t="s">
        <v>8</v>
      </c>
      <c r="S29" s="1580">
        <f t="shared" si="12"/>
        <v>100</v>
      </c>
      <c r="T29" s="1579" t="s">
        <v>8</v>
      </c>
      <c r="U29" s="1580">
        <f t="shared" si="13"/>
        <v>100</v>
      </c>
      <c r="V29" s="1579" t="s">
        <v>8</v>
      </c>
      <c r="W29" s="1580">
        <f t="shared" si="14"/>
        <v>100</v>
      </c>
      <c r="X29" s="1573"/>
      <c r="Y29" s="3340"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40"/>
      <c r="Q30" s="1611" t="str">
        <f t="shared" si="11"/>
        <v>项目建筑规模</v>
      </c>
      <c r="R30" s="1583" t="s">
        <v>8</v>
      </c>
      <c r="S30" s="1584" t="e">
        <f t="shared" si="12"/>
        <v>#N/A</v>
      </c>
      <c r="T30" s="1583" t="s">
        <v>8</v>
      </c>
      <c r="U30" s="1584" t="e">
        <f t="shared" si="13"/>
        <v>#N/A</v>
      </c>
      <c r="V30" s="1583" t="s">
        <v>8</v>
      </c>
      <c r="W30" s="1584" t="e">
        <f t="shared" si="14"/>
        <v>#N/A</v>
      </c>
      <c r="X30" s="1585"/>
      <c r="Y30" s="3340"/>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40"/>
      <c r="Q31" s="1578" t="str">
        <f t="shared" si="11"/>
        <v>建筑结构</v>
      </c>
      <c r="R31" s="1579" t="s">
        <v>8</v>
      </c>
      <c r="S31" s="1580">
        <f t="shared" si="12"/>
        <v>100</v>
      </c>
      <c r="T31" s="1579" t="s">
        <v>8</v>
      </c>
      <c r="U31" s="1580">
        <f t="shared" si="13"/>
        <v>100</v>
      </c>
      <c r="V31" s="1579" t="s">
        <v>8</v>
      </c>
      <c r="W31" s="1580">
        <f t="shared" si="14"/>
        <v>100</v>
      </c>
      <c r="X31" s="1573"/>
      <c r="Y31" s="3340"/>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40"/>
      <c r="Q32" s="1578" t="str">
        <f t="shared" si="11"/>
        <v>公共部分装修</v>
      </c>
      <c r="R32" s="1579" t="s">
        <v>8</v>
      </c>
      <c r="S32" s="1580">
        <f t="shared" si="12"/>
        <v>100</v>
      </c>
      <c r="T32" s="1579" t="s">
        <v>8</v>
      </c>
      <c r="U32" s="1580">
        <f t="shared" si="13"/>
        <v>100</v>
      </c>
      <c r="V32" s="1579" t="s">
        <v>8</v>
      </c>
      <c r="W32" s="1580">
        <f t="shared" si="14"/>
        <v>100</v>
      </c>
      <c r="X32" s="1573"/>
      <c r="Y32" s="3340"/>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40"/>
      <c r="Q33" s="1578" t="str">
        <f t="shared" si="11"/>
        <v>成新度</v>
      </c>
      <c r="R33" s="1579" t="s">
        <v>8</v>
      </c>
      <c r="S33" s="1580" t="e">
        <f t="shared" si="12"/>
        <v>#N/A</v>
      </c>
      <c r="T33" s="1579" t="s">
        <v>8</v>
      </c>
      <c r="U33" s="1580" t="e">
        <f t="shared" si="13"/>
        <v>#N/A</v>
      </c>
      <c r="V33" s="1579" t="s">
        <v>8</v>
      </c>
      <c r="W33" s="1580" t="e">
        <f t="shared" si="14"/>
        <v>#N/A</v>
      </c>
      <c r="X33" s="1573"/>
      <c r="Y33" s="3340"/>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40"/>
      <c r="Q34" s="1154" t="str">
        <f t="shared" si="11"/>
        <v>物业管理</v>
      </c>
      <c r="R34" s="1574" t="s">
        <v>8</v>
      </c>
      <c r="S34" s="1575">
        <f t="shared" si="12"/>
        <v>100</v>
      </c>
      <c r="T34" s="1574" t="s">
        <v>8</v>
      </c>
      <c r="U34" s="1575">
        <f t="shared" si="13"/>
        <v>100</v>
      </c>
      <c r="V34" s="1574" t="s">
        <v>8</v>
      </c>
      <c r="W34" s="1575">
        <f t="shared" si="14"/>
        <v>100</v>
      </c>
      <c r="X34" s="1576"/>
      <c r="Y34" s="3340"/>
      <c r="Z34" s="1153" t="str">
        <f t="shared" si="15"/>
        <v>物业管理</v>
      </c>
      <c r="AA34" s="1577">
        <f t="shared" si="3"/>
        <v>1</v>
      </c>
      <c r="AB34" s="1577">
        <f t="shared" si="4"/>
        <v>1</v>
      </c>
      <c r="AC34" s="1577">
        <f t="shared" si="5"/>
        <v>1</v>
      </c>
    </row>
    <row r="35" spans="1:29" ht="15">
      <c r="A35" s="597"/>
      <c r="B35" s="1902" t="s">
        <v>2580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40" t="s">
        <v>551</v>
      </c>
      <c r="Q35" s="1578" t="str">
        <f t="shared" si="11"/>
        <v>市政基础设施</v>
      </c>
      <c r="R35" s="1579" t="s">
        <v>8</v>
      </c>
      <c r="S35" s="1580">
        <f t="shared" si="12"/>
        <v>100</v>
      </c>
      <c r="T35" s="1579" t="s">
        <v>8</v>
      </c>
      <c r="U35" s="1580">
        <f t="shared" si="13"/>
        <v>100</v>
      </c>
      <c r="V35" s="1579" t="s">
        <v>8</v>
      </c>
      <c r="W35" s="1580">
        <f t="shared" si="14"/>
        <v>100</v>
      </c>
      <c r="X35" s="1573"/>
      <c r="Y35" s="3340"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40"/>
      <c r="Q36" s="1578" t="str">
        <f t="shared" si="11"/>
        <v>内部装修</v>
      </c>
      <c r="R36" s="1579" t="s">
        <v>8</v>
      </c>
      <c r="S36" s="1580">
        <f t="shared" si="12"/>
        <v>100</v>
      </c>
      <c r="T36" s="1579" t="s">
        <v>8</v>
      </c>
      <c r="U36" s="1580">
        <f t="shared" si="13"/>
        <v>100</v>
      </c>
      <c r="V36" s="1579" t="s">
        <v>8</v>
      </c>
      <c r="W36" s="1580">
        <f t="shared" si="14"/>
        <v>100</v>
      </c>
      <c r="X36" s="1573"/>
      <c r="Y36" s="3340"/>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40"/>
      <c r="Q37" s="1578" t="str">
        <f t="shared" si="11"/>
        <v>内部装修状况</v>
      </c>
      <c r="R37" s="1579" t="s">
        <v>8</v>
      </c>
      <c r="S37" s="1580">
        <f t="shared" si="12"/>
        <v>100</v>
      </c>
      <c r="T37" s="1579" t="s">
        <v>8</v>
      </c>
      <c r="U37" s="1580">
        <f t="shared" si="13"/>
        <v>100</v>
      </c>
      <c r="V37" s="1579" t="s">
        <v>8</v>
      </c>
      <c r="W37" s="1580">
        <f t="shared" si="14"/>
        <v>100</v>
      </c>
      <c r="X37" s="1573"/>
      <c r="Y37" s="3340"/>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40"/>
      <c r="Q38" s="1611">
        <f t="shared" si="11"/>
        <v>111</v>
      </c>
      <c r="R38" s="1583" t="s">
        <v>8</v>
      </c>
      <c r="S38" s="1584">
        <f t="shared" si="12"/>
        <v>100</v>
      </c>
      <c r="T38" s="1583" t="s">
        <v>8</v>
      </c>
      <c r="U38" s="1584">
        <f t="shared" si="13"/>
        <v>100</v>
      </c>
      <c r="V38" s="1583" t="s">
        <v>8</v>
      </c>
      <c r="W38" s="1584">
        <f t="shared" si="14"/>
        <v>100</v>
      </c>
      <c r="X38" s="1585"/>
      <c r="Y38" s="3340"/>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40"/>
      <c r="Q39" s="1578">
        <f t="shared" si="11"/>
        <v>111</v>
      </c>
      <c r="R39" s="1579" t="s">
        <v>8</v>
      </c>
      <c r="S39" s="1580">
        <f t="shared" si="12"/>
        <v>100</v>
      </c>
      <c r="T39" s="1579" t="s">
        <v>8</v>
      </c>
      <c r="U39" s="1580">
        <f t="shared" si="13"/>
        <v>100</v>
      </c>
      <c r="V39" s="1579" t="s">
        <v>8</v>
      </c>
      <c r="W39" s="1580">
        <f t="shared" si="14"/>
        <v>100</v>
      </c>
      <c r="X39" s="1573"/>
      <c r="Y39" s="3340"/>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1"/>
      <c r="Q40" s="1578">
        <f t="shared" si="11"/>
        <v>111</v>
      </c>
      <c r="R40" s="1579" t="s">
        <v>8</v>
      </c>
      <c r="S40" s="1580">
        <f t="shared" si="12"/>
        <v>100</v>
      </c>
      <c r="T40" s="1579" t="s">
        <v>8</v>
      </c>
      <c r="U40" s="1580">
        <f t="shared" si="13"/>
        <v>100</v>
      </c>
      <c r="V40" s="1579" t="s">
        <v>8</v>
      </c>
      <c r="W40" s="1580">
        <f t="shared" si="14"/>
        <v>100</v>
      </c>
      <c r="X40" s="1573"/>
      <c r="Y40" s="3431"/>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35" t="str">
        <f>A41</f>
        <v>成交单价（元/平方米）</v>
      </c>
      <c r="Q41" s="3335"/>
      <c r="R41" s="3430">
        <f>E41</f>
        <v>0</v>
      </c>
      <c r="S41" s="3430"/>
      <c r="T41" s="3430">
        <f>G41</f>
        <v>0</v>
      </c>
      <c r="U41" s="3430"/>
      <c r="V41" s="3430">
        <f>I41</f>
        <v>0</v>
      </c>
      <c r="W41" s="3430"/>
      <c r="X41" s="1565"/>
      <c r="Y41" s="1587"/>
      <c r="Z41" s="1565"/>
      <c r="AA41" s="1565"/>
      <c r="AB41" s="1565"/>
      <c r="AC41" s="1565"/>
    </row>
    <row r="42" spans="1:29" ht="15.75" thickBot="1">
      <c r="A42" s="618" t="s">
        <v>2778</v>
      </c>
      <c r="B42" s="891"/>
      <c r="C42" s="2669" t="e">
        <f>R43</f>
        <v>#DIV/0!</v>
      </c>
      <c r="D42" s="2670"/>
      <c r="E42" s="2671" t="e">
        <f>R42</f>
        <v>#DIV/0!</v>
      </c>
      <c r="F42" s="2671"/>
      <c r="G42" s="2669" t="e">
        <f>T42</f>
        <v>#DIV/0!</v>
      </c>
      <c r="H42" s="2670"/>
      <c r="I42" s="2671" t="e">
        <f>V42</f>
        <v>#DIV/0!</v>
      </c>
      <c r="J42" s="2670"/>
      <c r="K42" s="1618"/>
      <c r="L42" s="2155"/>
      <c r="M42" s="2156"/>
      <c r="N42" s="2145"/>
      <c r="O42" s="2156"/>
      <c r="P42" s="3335" t="str">
        <f>A42</f>
        <v>比较价格（元/平方米）</v>
      </c>
      <c r="Q42" s="3335"/>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1565"/>
      <c r="Y42" s="1565"/>
      <c r="Z42" s="1565"/>
      <c r="AA42" s="1565"/>
      <c r="AB42" s="1565"/>
      <c r="AC42" s="1565"/>
    </row>
    <row r="43" spans="1:29" ht="15.75" thickBot="1">
      <c r="A43" s="624" t="s">
        <v>2955</v>
      </c>
      <c r="B43" s="625"/>
      <c r="C43" s="2672" t="e">
        <f>R43</f>
        <v>#DIV/0!</v>
      </c>
      <c r="D43" s="2672"/>
      <c r="E43" s="2672"/>
      <c r="F43" s="2672"/>
      <c r="G43" s="2672"/>
      <c r="H43" s="2672"/>
      <c r="I43" s="2672"/>
      <c r="J43" s="2672"/>
      <c r="K43" s="1619"/>
      <c r="L43" s="2155"/>
      <c r="M43" s="2156"/>
      <c r="N43" s="2156"/>
      <c r="O43" s="2156"/>
      <c r="P43" s="3356" t="str">
        <f>A43</f>
        <v>估价对象XX用房的比较价格（楼面单价，元/平方米）</v>
      </c>
      <c r="Q43" s="3357"/>
      <c r="R43" s="3429" t="e">
        <f>IF(F1="售价",ROUND(AVERAGE(R42:V42),0),ROUND(AVERAGE(R42:V42),1))</f>
        <v>#DIV/0!</v>
      </c>
      <c r="S43" s="3429"/>
      <c r="T43" s="3429"/>
      <c r="U43" s="3429"/>
      <c r="V43" s="3429"/>
      <c r="W43" s="3429"/>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2572</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2573</v>
      </c>
      <c r="C76" s="2634" t="s">
        <v>2574</v>
      </c>
      <c r="D76" s="2634" t="s">
        <v>2575</v>
      </c>
      <c r="E76" s="2634" t="s">
        <v>2576</v>
      </c>
      <c r="F76" s="2634" t="s">
        <v>2577</v>
      </c>
      <c r="G76" s="2634" t="s">
        <v>2578</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2571</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2087</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1" t="s">
        <v>801</v>
      </c>
      <c r="D4" s="3342"/>
      <c r="E4" s="3341" t="s">
        <v>802</v>
      </c>
      <c r="F4" s="3342"/>
      <c r="G4" s="3341" t="s">
        <v>803</v>
      </c>
      <c r="H4" s="3342"/>
      <c r="I4" s="3341" t="s">
        <v>804</v>
      </c>
      <c r="J4" s="3342"/>
      <c r="K4" s="517" t="s">
        <v>805</v>
      </c>
      <c r="L4" s="2144"/>
      <c r="M4" s="2145"/>
      <c r="N4" s="2145"/>
      <c r="O4" s="2145"/>
      <c r="P4" s="3343" t="s">
        <v>806</v>
      </c>
      <c r="Q4" s="3344"/>
      <c r="R4" s="3329" t="s">
        <v>802</v>
      </c>
      <c r="S4" s="3330"/>
      <c r="T4" s="3329" t="s">
        <v>803</v>
      </c>
      <c r="U4" s="3330"/>
      <c r="V4" s="3349" t="s">
        <v>804</v>
      </c>
      <c r="W4" s="3349"/>
      <c r="X4" s="1573"/>
      <c r="Y4" s="3329" t="s">
        <v>806</v>
      </c>
      <c r="Z4" s="3330"/>
      <c r="AA4" s="3324" t="s">
        <v>802</v>
      </c>
      <c r="AB4" s="3325" t="s">
        <v>803</v>
      </c>
      <c r="AC4" s="3324" t="s">
        <v>804</v>
      </c>
    </row>
    <row r="5" spans="1:29" ht="15">
      <c r="A5" s="518"/>
      <c r="B5" s="519"/>
      <c r="C5" s="3352" t="s">
        <v>2949</v>
      </c>
      <c r="D5" s="3353"/>
      <c r="E5" s="3352" t="s">
        <v>2950</v>
      </c>
      <c r="F5" s="3353"/>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54" t="s">
        <v>2953</v>
      </c>
      <c r="F6" s="3355"/>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42923</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27" t="s">
        <v>531</v>
      </c>
      <c r="Q7" s="3336"/>
      <c r="R7" s="1574" t="s">
        <v>8</v>
      </c>
      <c r="S7" s="1575">
        <f t="shared" ref="S7:S14" si="0">F7</f>
        <v>0</v>
      </c>
      <c r="T7" s="1574" t="s">
        <v>8</v>
      </c>
      <c r="U7" s="1575">
        <f t="shared" ref="U7:U14" si="1">H7</f>
        <v>0</v>
      </c>
      <c r="V7" s="1574" t="s">
        <v>8</v>
      </c>
      <c r="W7" s="1575">
        <f t="shared" ref="W7:W14"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36" si="3">D8/F8</f>
        <v>#DIV/0!</v>
      </c>
      <c r="AB8" s="1577" t="e">
        <f t="shared" ref="AB8:AB36" si="4">D8/H8</f>
        <v>#DIV/0!</v>
      </c>
      <c r="AC8" s="1577" t="e">
        <f t="shared" ref="AC8:AC36" si="5">D8/J8</f>
        <v>#DIV/0!</v>
      </c>
    </row>
    <row r="9" spans="1:29" s="1223" customFormat="1" ht="15">
      <c r="A9" s="2954"/>
      <c r="B9" s="2961" t="s">
        <v>2774</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35" t="s">
        <v>536</v>
      </c>
      <c r="Q9" s="1154" t="str">
        <f t="shared" ref="Q9:Q14" si="6">B9</f>
        <v>用途</v>
      </c>
      <c r="R9" s="1574" t="s">
        <v>8</v>
      </c>
      <c r="S9" s="1575">
        <f t="shared" si="0"/>
        <v>100</v>
      </c>
      <c r="T9" s="1574" t="s">
        <v>8</v>
      </c>
      <c r="U9" s="1575">
        <f t="shared" si="1"/>
        <v>100</v>
      </c>
      <c r="V9" s="1574" t="s">
        <v>8</v>
      </c>
      <c r="W9" s="1575">
        <f t="shared" si="2"/>
        <v>100</v>
      </c>
      <c r="X9" s="1576"/>
      <c r="Y9" s="329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35"/>
      <c r="Q11" s="1154">
        <f t="shared" si="6"/>
        <v>111</v>
      </c>
      <c r="R11" s="1574" t="s">
        <v>8</v>
      </c>
      <c r="S11" s="1575">
        <f t="shared" si="0"/>
        <v>100</v>
      </c>
      <c r="T11" s="1574" t="s">
        <v>8</v>
      </c>
      <c r="U11" s="1575">
        <f t="shared" si="1"/>
        <v>100</v>
      </c>
      <c r="V11" s="1574" t="s">
        <v>8</v>
      </c>
      <c r="W11" s="1575">
        <f t="shared" si="2"/>
        <v>100</v>
      </c>
      <c r="X11" s="1576"/>
      <c r="Y11" s="3292"/>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85.5">
      <c r="A14" s="2950" t="s">
        <v>2772</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37" t="s">
        <v>541</v>
      </c>
      <c r="Q14" s="1578" t="str">
        <f t="shared" si="6"/>
        <v>交通便捷度</v>
      </c>
      <c r="R14" s="1579" t="s">
        <v>8</v>
      </c>
      <c r="S14" s="1580">
        <f t="shared" si="0"/>
        <v>100</v>
      </c>
      <c r="T14" s="1579" t="s">
        <v>8</v>
      </c>
      <c r="U14" s="1580">
        <f t="shared" si="1"/>
        <v>100</v>
      </c>
      <c r="V14" s="1579" t="s">
        <v>8</v>
      </c>
      <c r="W14" s="1580">
        <f t="shared" si="2"/>
        <v>100</v>
      </c>
      <c r="X14" s="1573"/>
      <c r="Y14" s="3337"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38"/>
      <c r="Q15" s="1578"/>
      <c r="R15" s="1579"/>
      <c r="S15" s="1580"/>
      <c r="T15" s="1579"/>
      <c r="U15" s="1580"/>
      <c r="V15" s="1579"/>
      <c r="W15" s="1580"/>
      <c r="X15" s="1573"/>
      <c r="Y15" s="3338"/>
      <c r="Z15" s="1581"/>
      <c r="AA15" s="1582">
        <v>1</v>
      </c>
      <c r="AB15" s="1582">
        <v>1</v>
      </c>
      <c r="AC15" s="1582">
        <v>1</v>
      </c>
    </row>
    <row r="16" spans="1:29" ht="42.75">
      <c r="A16" s="518"/>
      <c r="B16" s="2639" t="s">
        <v>2561</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38"/>
      <c r="Q16" s="1578" t="str">
        <f>B16</f>
        <v>公共配套设施</v>
      </c>
      <c r="R16" s="1579" t="s">
        <v>8</v>
      </c>
      <c r="S16" s="1580">
        <f>F16</f>
        <v>100</v>
      </c>
      <c r="T16" s="1579" t="s">
        <v>8</v>
      </c>
      <c r="U16" s="1580">
        <f>H16</f>
        <v>100</v>
      </c>
      <c r="V16" s="1579" t="s">
        <v>8</v>
      </c>
      <c r="W16" s="1580">
        <f>J16</f>
        <v>100</v>
      </c>
      <c r="X16" s="1573"/>
      <c r="Y16" s="3338"/>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38"/>
      <c r="Q17" s="1578"/>
      <c r="R17" s="1579"/>
      <c r="S17" s="1580"/>
      <c r="T17" s="1579"/>
      <c r="U17" s="1580"/>
      <c r="V17" s="1579"/>
      <c r="W17" s="1580"/>
      <c r="X17" s="1573"/>
      <c r="Y17" s="3338"/>
      <c r="Z17" s="1581"/>
      <c r="AA17" s="1582">
        <v>1</v>
      </c>
      <c r="AB17" s="1582">
        <v>1</v>
      </c>
      <c r="AC17" s="1582">
        <v>1</v>
      </c>
    </row>
    <row r="18" spans="1:29" ht="28.5">
      <c r="A18" s="518"/>
      <c r="B18" s="2627" t="s">
        <v>2573</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38"/>
      <c r="Q18" s="2615" t="str">
        <f>B18</f>
        <v>基础设施水平</v>
      </c>
      <c r="R18" s="1579" t="s">
        <v>8</v>
      </c>
      <c r="S18" s="1580">
        <f>F18</f>
        <v>100</v>
      </c>
      <c r="T18" s="1579" t="s">
        <v>8</v>
      </c>
      <c r="U18" s="1580">
        <f>H18</f>
        <v>100</v>
      </c>
      <c r="V18" s="1579" t="s">
        <v>8</v>
      </c>
      <c r="W18" s="1580">
        <f>J18</f>
        <v>100</v>
      </c>
      <c r="X18" s="2617"/>
      <c r="Y18" s="3338"/>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38"/>
      <c r="Q19" s="2615"/>
      <c r="R19" s="1579"/>
      <c r="S19" s="1580"/>
      <c r="T19" s="1579"/>
      <c r="U19" s="1580"/>
      <c r="V19" s="1579"/>
      <c r="W19" s="1580"/>
      <c r="X19" s="2617"/>
      <c r="Y19" s="3338"/>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38"/>
      <c r="Q20" s="1578" t="str">
        <f>B20</f>
        <v>自然及人文环境</v>
      </c>
      <c r="R20" s="1579" t="s">
        <v>8</v>
      </c>
      <c r="S20" s="1580">
        <f>F20</f>
        <v>100</v>
      </c>
      <c r="T20" s="1579" t="s">
        <v>8</v>
      </c>
      <c r="U20" s="1580">
        <f>H20</f>
        <v>100</v>
      </c>
      <c r="V20" s="1579" t="s">
        <v>8</v>
      </c>
      <c r="W20" s="1580">
        <f>J20</f>
        <v>100</v>
      </c>
      <c r="X20" s="1573"/>
      <c r="Y20" s="3338"/>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38"/>
      <c r="Q21" s="1578"/>
      <c r="R21" s="1579"/>
      <c r="S21" s="1580"/>
      <c r="T21" s="1579"/>
      <c r="U21" s="1580"/>
      <c r="V21" s="1579"/>
      <c r="W21" s="1580"/>
      <c r="X21" s="1573"/>
      <c r="Y21" s="3338"/>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38"/>
      <c r="Q22" s="1578" t="str">
        <f>B22</f>
        <v>楼层</v>
      </c>
      <c r="R22" s="1579" t="s">
        <v>8</v>
      </c>
      <c r="S22" s="1580">
        <f>F22</f>
        <v>100</v>
      </c>
      <c r="T22" s="1579" t="s">
        <v>8</v>
      </c>
      <c r="U22" s="1580">
        <f>H22</f>
        <v>100</v>
      </c>
      <c r="V22" s="1579" t="s">
        <v>8</v>
      </c>
      <c r="W22" s="1580">
        <f>J22</f>
        <v>100</v>
      </c>
      <c r="X22" s="1573"/>
      <c r="Y22" s="3338"/>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38"/>
      <c r="Q23" s="1578">
        <f>B23</f>
        <v>111</v>
      </c>
      <c r="R23" s="1579" t="s">
        <v>8</v>
      </c>
      <c r="S23" s="1580">
        <f>F23</f>
        <v>100</v>
      </c>
      <c r="T23" s="1579" t="s">
        <v>8</v>
      </c>
      <c r="U23" s="1580">
        <f>H23</f>
        <v>100</v>
      </c>
      <c r="V23" s="1579" t="s">
        <v>8</v>
      </c>
      <c r="W23" s="1580">
        <f>J23</f>
        <v>100</v>
      </c>
      <c r="X23" s="1573"/>
      <c r="Y23" s="3338"/>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38"/>
      <c r="Q24" s="1578">
        <f t="shared" ref="Q24:Q36" si="11">B24</f>
        <v>111</v>
      </c>
      <c r="R24" s="1579" t="s">
        <v>8</v>
      </c>
      <c r="S24" s="1580">
        <f>F24</f>
        <v>100</v>
      </c>
      <c r="T24" s="1579" t="s">
        <v>8</v>
      </c>
      <c r="U24" s="1580">
        <f>H24</f>
        <v>100</v>
      </c>
      <c r="V24" s="1579" t="s">
        <v>8</v>
      </c>
      <c r="W24" s="1580">
        <f>J24</f>
        <v>100</v>
      </c>
      <c r="X24" s="1573"/>
      <c r="Y24" s="3338"/>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38"/>
      <c r="Q25" s="1154">
        <f t="shared" si="11"/>
        <v>111</v>
      </c>
      <c r="R25" s="1574" t="s">
        <v>8</v>
      </c>
      <c r="S25" s="1575">
        <f>F25</f>
        <v>100</v>
      </c>
      <c r="T25" s="1574" t="s">
        <v>8</v>
      </c>
      <c r="U25" s="1575">
        <f>H25</f>
        <v>100</v>
      </c>
      <c r="V25" s="1574" t="s">
        <v>8</v>
      </c>
      <c r="W25" s="1575">
        <f>J25</f>
        <v>100</v>
      </c>
      <c r="X25" s="1576"/>
      <c r="Y25" s="3338"/>
      <c r="Z25" s="1153">
        <f>Q25</f>
        <v>111</v>
      </c>
      <c r="AA25" s="1582">
        <f>D25/F25</f>
        <v>1</v>
      </c>
      <c r="AB25" s="1582">
        <f>D25/H25</f>
        <v>1</v>
      </c>
      <c r="AC25" s="1582">
        <f>D25/J25</f>
        <v>1</v>
      </c>
    </row>
    <row r="26" spans="1:29" ht="15">
      <c r="A26" s="2947" t="s">
        <v>2773</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39"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40"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40"/>
      <c r="Q27" s="1611" t="str">
        <f t="shared" si="11"/>
        <v>项目停车位配比</v>
      </c>
      <c r="R27" s="1583" t="s">
        <v>8</v>
      </c>
      <c r="S27" s="1584">
        <f t="shared" si="12"/>
        <v>100</v>
      </c>
      <c r="T27" s="1583" t="s">
        <v>8</v>
      </c>
      <c r="U27" s="1584">
        <f t="shared" si="13"/>
        <v>100</v>
      </c>
      <c r="V27" s="1583" t="s">
        <v>8</v>
      </c>
      <c r="W27" s="1584">
        <f t="shared" si="14"/>
        <v>100</v>
      </c>
      <c r="X27" s="1585"/>
      <c r="Y27" s="3340"/>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40"/>
      <c r="Q28" s="1578" t="str">
        <f t="shared" si="11"/>
        <v>公共部分装修</v>
      </c>
      <c r="R28" s="1579" t="s">
        <v>8</v>
      </c>
      <c r="S28" s="1580">
        <f t="shared" si="12"/>
        <v>100</v>
      </c>
      <c r="T28" s="1579" t="s">
        <v>8</v>
      </c>
      <c r="U28" s="1580">
        <f t="shared" si="13"/>
        <v>100</v>
      </c>
      <c r="V28" s="1579" t="s">
        <v>8</v>
      </c>
      <c r="W28" s="1580">
        <f t="shared" si="14"/>
        <v>100</v>
      </c>
      <c r="X28" s="1573"/>
      <c r="Y28" s="3340"/>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40"/>
      <c r="Q29" s="1578" t="str">
        <f t="shared" si="11"/>
        <v>成新率</v>
      </c>
      <c r="R29" s="1579" t="s">
        <v>8</v>
      </c>
      <c r="S29" s="1580" t="e">
        <f t="shared" si="12"/>
        <v>#N/A</v>
      </c>
      <c r="T29" s="1579" t="s">
        <v>8</v>
      </c>
      <c r="U29" s="1580" t="e">
        <f t="shared" si="13"/>
        <v>#N/A</v>
      </c>
      <c r="V29" s="1579" t="s">
        <v>8</v>
      </c>
      <c r="W29" s="1580" t="e">
        <f t="shared" si="14"/>
        <v>#N/A</v>
      </c>
      <c r="X29" s="1573"/>
      <c r="Y29" s="3340"/>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40"/>
      <c r="Q30" s="1578" t="str">
        <f t="shared" si="11"/>
        <v>物业等级</v>
      </c>
      <c r="R30" s="1579" t="s">
        <v>8</v>
      </c>
      <c r="S30" s="1580">
        <f t="shared" si="12"/>
        <v>100</v>
      </c>
      <c r="T30" s="1579" t="s">
        <v>8</v>
      </c>
      <c r="U30" s="1580">
        <f t="shared" si="13"/>
        <v>100</v>
      </c>
      <c r="V30" s="1579" t="s">
        <v>8</v>
      </c>
      <c r="W30" s="1580">
        <f t="shared" si="14"/>
        <v>100</v>
      </c>
      <c r="X30" s="1573"/>
      <c r="Y30" s="3340"/>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40"/>
      <c r="Q31" s="1154" t="str">
        <f t="shared" si="11"/>
        <v>停车位面积</v>
      </c>
      <c r="R31" s="1574" t="s">
        <v>8</v>
      </c>
      <c r="S31" s="1575" t="e">
        <f t="shared" si="12"/>
        <v>#N/A</v>
      </c>
      <c r="T31" s="1574" t="s">
        <v>8</v>
      </c>
      <c r="U31" s="1575" t="e">
        <f t="shared" si="13"/>
        <v>#N/A</v>
      </c>
      <c r="V31" s="1574" t="s">
        <v>8</v>
      </c>
      <c r="W31" s="1575" t="e">
        <f t="shared" si="14"/>
        <v>#N/A</v>
      </c>
      <c r="X31" s="1576"/>
      <c r="Y31" s="3340"/>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40" t="s">
        <v>551</v>
      </c>
      <c r="Q32" s="1578" t="str">
        <f t="shared" si="11"/>
        <v>车位类型</v>
      </c>
      <c r="R32" s="1579" t="s">
        <v>8</v>
      </c>
      <c r="S32" s="1580">
        <f t="shared" si="12"/>
        <v>100</v>
      </c>
      <c r="T32" s="1579" t="s">
        <v>8</v>
      </c>
      <c r="U32" s="1580">
        <f t="shared" si="13"/>
        <v>100</v>
      </c>
      <c r="V32" s="1579" t="s">
        <v>8</v>
      </c>
      <c r="W32" s="1580">
        <f t="shared" si="14"/>
        <v>100</v>
      </c>
      <c r="X32" s="1573"/>
      <c r="Y32" s="3340"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40"/>
      <c r="Q33" s="1578" t="str">
        <f t="shared" si="11"/>
        <v>是否直接入户</v>
      </c>
      <c r="R33" s="1579" t="s">
        <v>8</v>
      </c>
      <c r="S33" s="1580">
        <f t="shared" si="12"/>
        <v>100</v>
      </c>
      <c r="T33" s="1579" t="s">
        <v>8</v>
      </c>
      <c r="U33" s="1580">
        <f t="shared" si="13"/>
        <v>100</v>
      </c>
      <c r="V33" s="1579" t="s">
        <v>8</v>
      </c>
      <c r="W33" s="1580">
        <f t="shared" si="14"/>
        <v>100</v>
      </c>
      <c r="X33" s="1573"/>
      <c r="Y33" s="3340"/>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40"/>
      <c r="Q34" s="1578">
        <f t="shared" si="11"/>
        <v>111</v>
      </c>
      <c r="R34" s="1579" t="s">
        <v>8</v>
      </c>
      <c r="S34" s="1580">
        <f t="shared" si="12"/>
        <v>100</v>
      </c>
      <c r="T34" s="1579" t="s">
        <v>8</v>
      </c>
      <c r="U34" s="1580">
        <f t="shared" si="13"/>
        <v>100</v>
      </c>
      <c r="V34" s="1579" t="s">
        <v>8</v>
      </c>
      <c r="W34" s="1580">
        <f t="shared" si="14"/>
        <v>100</v>
      </c>
      <c r="X34" s="1573"/>
      <c r="Y34" s="3340"/>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40"/>
      <c r="Q35" s="1611">
        <f t="shared" si="11"/>
        <v>111</v>
      </c>
      <c r="R35" s="1583" t="s">
        <v>8</v>
      </c>
      <c r="S35" s="1584">
        <f t="shared" si="12"/>
        <v>100</v>
      </c>
      <c r="T35" s="1583" t="s">
        <v>8</v>
      </c>
      <c r="U35" s="1584">
        <f t="shared" si="13"/>
        <v>100</v>
      </c>
      <c r="V35" s="1583" t="s">
        <v>8</v>
      </c>
      <c r="W35" s="1584">
        <f t="shared" si="14"/>
        <v>100</v>
      </c>
      <c r="X35" s="1585"/>
      <c r="Y35" s="3340"/>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40"/>
      <c r="Q36" s="1578">
        <f t="shared" si="11"/>
        <v>111</v>
      </c>
      <c r="R36" s="1579" t="s">
        <v>8</v>
      </c>
      <c r="S36" s="1580">
        <f t="shared" si="12"/>
        <v>100</v>
      </c>
      <c r="T36" s="1579" t="s">
        <v>8</v>
      </c>
      <c r="U36" s="1580">
        <f t="shared" si="13"/>
        <v>100</v>
      </c>
      <c r="V36" s="1579" t="s">
        <v>8</v>
      </c>
      <c r="W36" s="1580">
        <f t="shared" si="14"/>
        <v>100</v>
      </c>
      <c r="X36" s="1573"/>
      <c r="Y36" s="3340"/>
      <c r="Z36" s="1581">
        <f t="shared" si="15"/>
        <v>111</v>
      </c>
      <c r="AA36" s="1582">
        <f t="shared" si="3"/>
        <v>1</v>
      </c>
      <c r="AB36" s="1582">
        <f t="shared" si="4"/>
        <v>1</v>
      </c>
      <c r="AC36" s="1582">
        <f t="shared" si="5"/>
        <v>1</v>
      </c>
    </row>
    <row r="37" spans="1:29" ht="15">
      <c r="A37" s="1853" t="s">
        <v>2088</v>
      </c>
      <c r="B37" s="1854" t="s">
        <v>2089</v>
      </c>
      <c r="C37" s="2663" t="s">
        <v>1</v>
      </c>
      <c r="D37" s="2664"/>
      <c r="E37" s="2665"/>
      <c r="F37" s="2666"/>
      <c r="G37" s="2667"/>
      <c r="H37" s="2668"/>
      <c r="I37" s="2665"/>
      <c r="J37" s="2668"/>
      <c r="K37" s="1617"/>
      <c r="L37" s="2155"/>
      <c r="M37" s="2156"/>
      <c r="N37" s="2145"/>
      <c r="O37" s="2156"/>
      <c r="P37" s="3335" t="str">
        <f>A37</f>
        <v>成交单价</v>
      </c>
      <c r="Q37" s="3335"/>
      <c r="R37" s="3430">
        <f>E37</f>
        <v>0</v>
      </c>
      <c r="S37" s="3430"/>
      <c r="T37" s="3430">
        <f>G37</f>
        <v>0</v>
      </c>
      <c r="U37" s="3430"/>
      <c r="V37" s="3430">
        <f>I37</f>
        <v>0</v>
      </c>
      <c r="W37" s="3430"/>
      <c r="X37" s="1565"/>
      <c r="Y37" s="1587"/>
      <c r="Z37" s="1565"/>
      <c r="AA37" s="1565"/>
      <c r="AB37" s="1565"/>
      <c r="AC37" s="1565"/>
    </row>
    <row r="38" spans="1:29" ht="15.75" thickBot="1">
      <c r="A38" s="618" t="s">
        <v>2778</v>
      </c>
      <c r="B38" s="891"/>
      <c r="C38" s="2669" t="e">
        <f>R39</f>
        <v>#DIV/0!</v>
      </c>
      <c r="D38" s="2670"/>
      <c r="E38" s="2671" t="e">
        <f>R38</f>
        <v>#DIV/0!</v>
      </c>
      <c r="F38" s="2671"/>
      <c r="G38" s="2669" t="e">
        <f>T38</f>
        <v>#DIV/0!</v>
      </c>
      <c r="H38" s="2670"/>
      <c r="I38" s="2671" t="e">
        <f>V38</f>
        <v>#DIV/0!</v>
      </c>
      <c r="J38" s="2670"/>
      <c r="K38" s="1618"/>
      <c r="L38" s="2155"/>
      <c r="M38" s="2156"/>
      <c r="N38" s="2156"/>
      <c r="O38" s="2156"/>
      <c r="P38" s="3335" t="str">
        <f>A38</f>
        <v>比较价格（元/平方米）</v>
      </c>
      <c r="Q38" s="3335"/>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1565"/>
      <c r="Y38" s="1565"/>
      <c r="Z38" s="1565"/>
      <c r="AA38" s="1565"/>
      <c r="AB38" s="1565"/>
      <c r="AC38" s="1565"/>
    </row>
    <row r="39" spans="1:29" ht="15.75" thickBot="1">
      <c r="A39" s="624" t="s">
        <v>2955</v>
      </c>
      <c r="B39" s="625"/>
      <c r="C39" s="2672" t="e">
        <f>R39</f>
        <v>#DIV/0!</v>
      </c>
      <c r="D39" s="2672"/>
      <c r="E39" s="2672"/>
      <c r="F39" s="2672"/>
      <c r="G39" s="2672"/>
      <c r="H39" s="2672"/>
      <c r="I39" s="2672"/>
      <c r="J39" s="2672"/>
      <c r="K39" s="1619"/>
      <c r="L39" s="2155"/>
      <c r="M39" s="2156"/>
      <c r="N39" s="2156"/>
      <c r="O39" s="2156"/>
      <c r="P39" s="3356" t="str">
        <f>A39</f>
        <v>估价对象XX用房的比较价格（楼面单价，元/平方米）</v>
      </c>
      <c r="Q39" s="3357"/>
      <c r="R39" s="3429" t="e">
        <f>IF(F1="售价",ROUND(AVERAGE(R38:V38),0),ROUND(AVERAGE(R38:V38),1))</f>
        <v>#DIV/0!</v>
      </c>
      <c r="S39" s="3429"/>
      <c r="T39" s="3429"/>
      <c r="U39" s="3429"/>
      <c r="V39" s="3429"/>
      <c r="W39" s="3429"/>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2572</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2573</v>
      </c>
      <c r="C67" s="2634" t="s">
        <v>2574</v>
      </c>
      <c r="D67" s="2634" t="s">
        <v>2575</v>
      </c>
      <c r="E67" s="2634" t="s">
        <v>2576</v>
      </c>
      <c r="F67" s="2634" t="s">
        <v>2577</v>
      </c>
      <c r="G67" s="2634" t="s">
        <v>2578</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1" t="s">
        <v>801</v>
      </c>
      <c r="D4" s="3342"/>
      <c r="E4" s="3365" t="s">
        <v>802</v>
      </c>
      <c r="F4" s="3366"/>
      <c r="G4" s="3341" t="s">
        <v>803</v>
      </c>
      <c r="H4" s="3342"/>
      <c r="I4" s="3341" t="s">
        <v>804</v>
      </c>
      <c r="J4" s="3342"/>
      <c r="K4" s="517" t="s">
        <v>805</v>
      </c>
      <c r="L4" s="2144"/>
      <c r="M4" s="2145"/>
      <c r="N4" s="2145"/>
      <c r="O4" s="2145"/>
      <c r="P4" s="3343" t="s">
        <v>806</v>
      </c>
      <c r="Q4" s="3344"/>
      <c r="R4" s="3329" t="s">
        <v>802</v>
      </c>
      <c r="S4" s="3330"/>
      <c r="T4" s="3329" t="s">
        <v>803</v>
      </c>
      <c r="U4" s="3330"/>
      <c r="V4" s="3349" t="s">
        <v>804</v>
      </c>
      <c r="W4" s="3349"/>
      <c r="X4" s="1573"/>
      <c r="Y4" s="3329" t="s">
        <v>806</v>
      </c>
      <c r="Z4" s="3330"/>
      <c r="AA4" s="3324" t="s">
        <v>802</v>
      </c>
      <c r="AB4" s="3325" t="s">
        <v>803</v>
      </c>
      <c r="AC4" s="3324" t="s">
        <v>804</v>
      </c>
    </row>
    <row r="5" spans="1:29" ht="15">
      <c r="A5" s="518"/>
      <c r="B5" s="519"/>
      <c r="C5" s="3352" t="s">
        <v>2949</v>
      </c>
      <c r="D5" s="3353"/>
      <c r="E5" s="3367" t="s">
        <v>2950</v>
      </c>
      <c r="F5" s="3368"/>
      <c r="G5" s="3352" t="s">
        <v>2951</v>
      </c>
      <c r="H5" s="3353"/>
      <c r="I5" s="3352" t="s">
        <v>2952</v>
      </c>
      <c r="J5" s="3353"/>
      <c r="K5" s="517"/>
      <c r="L5" s="2144"/>
      <c r="M5" s="2145"/>
      <c r="N5" s="2145"/>
      <c r="O5" s="2145"/>
      <c r="P5" s="3345"/>
      <c r="Q5" s="3346"/>
      <c r="R5" s="3331"/>
      <c r="S5" s="3332"/>
      <c r="T5" s="3331"/>
      <c r="U5" s="3332"/>
      <c r="V5" s="3349"/>
      <c r="W5" s="3349"/>
      <c r="X5" s="1573"/>
      <c r="Y5" s="3331"/>
      <c r="Z5" s="3332"/>
      <c r="AA5" s="3325"/>
      <c r="AB5" s="3325"/>
      <c r="AC5" s="3325"/>
    </row>
    <row r="6" spans="1:29" ht="15.75" thickBot="1">
      <c r="A6" s="520"/>
      <c r="B6" s="521"/>
      <c r="C6" s="3350" t="s">
        <v>2953</v>
      </c>
      <c r="D6" s="3351"/>
      <c r="E6" s="3369" t="s">
        <v>2953</v>
      </c>
      <c r="F6" s="3370"/>
      <c r="G6" s="3350" t="s">
        <v>2953</v>
      </c>
      <c r="H6" s="3351"/>
      <c r="I6" s="3350" t="s">
        <v>2953</v>
      </c>
      <c r="J6" s="3351"/>
      <c r="K6" s="517" t="s">
        <v>529</v>
      </c>
      <c r="L6" s="2144"/>
      <c r="M6" s="2145"/>
      <c r="N6" s="2145"/>
      <c r="O6" s="2145"/>
      <c r="P6" s="3347"/>
      <c r="Q6" s="3348"/>
      <c r="R6" s="3331"/>
      <c r="S6" s="3332"/>
      <c r="T6" s="3333"/>
      <c r="U6" s="3334"/>
      <c r="V6" s="3349"/>
      <c r="W6" s="3349"/>
      <c r="X6" s="1573"/>
      <c r="Y6" s="3333"/>
      <c r="Z6" s="3334"/>
      <c r="AA6" s="3326"/>
      <c r="AB6" s="3326"/>
      <c r="AC6" s="3326"/>
    </row>
    <row r="7" spans="1:29" s="1223" customFormat="1" ht="15.75" thickBot="1">
      <c r="A7" s="2952"/>
      <c r="B7" s="2959" t="s">
        <v>530</v>
      </c>
      <c r="C7" s="522">
        <f>'数据-取费表'!B2</f>
        <v>42923</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27" t="s">
        <v>531</v>
      </c>
      <c r="Q7" s="3336"/>
      <c r="R7" s="1574" t="s">
        <v>8</v>
      </c>
      <c r="S7" s="1575">
        <f t="shared" ref="S7:S14" si="0">F7</f>
        <v>0</v>
      </c>
      <c r="T7" s="1574" t="s">
        <v>8</v>
      </c>
      <c r="U7" s="1575">
        <f t="shared" ref="U7:U14" si="1">H7</f>
        <v>0</v>
      </c>
      <c r="V7" s="1574" t="s">
        <v>8</v>
      </c>
      <c r="W7" s="1575">
        <f t="shared" ref="W7:W14" si="2">J7</f>
        <v>0</v>
      </c>
      <c r="X7" s="1576"/>
      <c r="Y7" s="3327" t="s">
        <v>531</v>
      </c>
      <c r="Z7" s="3328"/>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27" t="s">
        <v>534</v>
      </c>
      <c r="Q8" s="3328"/>
      <c r="R8" s="1574" t="s">
        <v>8</v>
      </c>
      <c r="S8" s="1575">
        <f t="shared" si="0"/>
        <v>0</v>
      </c>
      <c r="T8" s="1574" t="s">
        <v>8</v>
      </c>
      <c r="U8" s="1575">
        <f t="shared" si="1"/>
        <v>0</v>
      </c>
      <c r="V8" s="1574" t="s">
        <v>8</v>
      </c>
      <c r="W8" s="1575">
        <f t="shared" si="2"/>
        <v>0</v>
      </c>
      <c r="X8" s="1576"/>
      <c r="Y8" s="3327" t="s">
        <v>534</v>
      </c>
      <c r="Z8" s="3328"/>
      <c r="AA8" s="1577" t="e">
        <f t="shared" ref="AA8:AA34" si="3">D8/F8</f>
        <v>#DIV/0!</v>
      </c>
      <c r="AB8" s="1577" t="e">
        <f t="shared" ref="AB8:AB34" si="4">D8/H8</f>
        <v>#DIV/0!</v>
      </c>
      <c r="AC8" s="1577" t="e">
        <f t="shared" ref="AC8:AC34" si="5">D8/J8</f>
        <v>#DIV/0!</v>
      </c>
    </row>
    <row r="9" spans="1:29" s="1223" customFormat="1" ht="15">
      <c r="A9" s="2954"/>
      <c r="B9" s="2961" t="s">
        <v>2774</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35" t="s">
        <v>536</v>
      </c>
      <c r="Q9" s="1154" t="str">
        <f t="shared" ref="Q9:Q14" si="6">B9</f>
        <v>用途</v>
      </c>
      <c r="R9" s="1574" t="s">
        <v>8</v>
      </c>
      <c r="S9" s="1575">
        <f t="shared" si="0"/>
        <v>100</v>
      </c>
      <c r="T9" s="1574" t="s">
        <v>8</v>
      </c>
      <c r="U9" s="1575">
        <f t="shared" si="1"/>
        <v>100</v>
      </c>
      <c r="V9" s="1574" t="s">
        <v>8</v>
      </c>
      <c r="W9" s="1575">
        <f t="shared" si="2"/>
        <v>100</v>
      </c>
      <c r="X9" s="1576"/>
      <c r="Y9" s="3292" t="s">
        <v>537</v>
      </c>
      <c r="Z9" s="1153" t="str">
        <f t="shared" ref="Z9:Z14" si="7">Q9</f>
        <v>用途</v>
      </c>
      <c r="AA9" s="1577">
        <f t="shared" si="3"/>
        <v>1</v>
      </c>
      <c r="AB9" s="1577">
        <f t="shared" si="4"/>
        <v>1</v>
      </c>
      <c r="AC9" s="1577">
        <f t="shared" si="5"/>
        <v>1</v>
      </c>
    </row>
    <row r="10" spans="1:29" s="1341" customFormat="1" ht="27">
      <c r="A10" s="2955"/>
      <c r="B10" s="2960" t="s">
        <v>2775</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35"/>
      <c r="Q10" s="1154" t="str">
        <f t="shared" si="6"/>
        <v>土地使用年限（年）</v>
      </c>
      <c r="R10" s="1574" t="s">
        <v>8</v>
      </c>
      <c r="S10" s="1575">
        <f t="shared" si="0"/>
        <v>100</v>
      </c>
      <c r="T10" s="1574" t="s">
        <v>8</v>
      </c>
      <c r="U10" s="1575">
        <f t="shared" si="1"/>
        <v>100</v>
      </c>
      <c r="V10" s="1574" t="s">
        <v>8</v>
      </c>
      <c r="W10" s="1575">
        <f t="shared" si="2"/>
        <v>100</v>
      </c>
      <c r="X10" s="1576"/>
      <c r="Y10" s="3292"/>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35"/>
      <c r="Q11" s="1154">
        <f t="shared" si="6"/>
        <v>111</v>
      </c>
      <c r="R11" s="1574" t="s">
        <v>8</v>
      </c>
      <c r="S11" s="1575">
        <f t="shared" si="0"/>
        <v>100</v>
      </c>
      <c r="T11" s="1574" t="s">
        <v>8</v>
      </c>
      <c r="U11" s="1575">
        <f t="shared" si="1"/>
        <v>100</v>
      </c>
      <c r="V11" s="1574" t="s">
        <v>8</v>
      </c>
      <c r="W11" s="1575">
        <f t="shared" si="2"/>
        <v>100</v>
      </c>
      <c r="X11" s="1576"/>
      <c r="Y11" s="3292"/>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35"/>
      <c r="Q12" s="1154">
        <f t="shared" si="6"/>
        <v>111</v>
      </c>
      <c r="R12" s="1574" t="s">
        <v>8</v>
      </c>
      <c r="S12" s="1575">
        <f t="shared" si="0"/>
        <v>100</v>
      </c>
      <c r="T12" s="1574" t="s">
        <v>8</v>
      </c>
      <c r="U12" s="1575">
        <f t="shared" si="1"/>
        <v>100</v>
      </c>
      <c r="V12" s="1574" t="s">
        <v>8</v>
      </c>
      <c r="W12" s="1575">
        <f t="shared" si="2"/>
        <v>100</v>
      </c>
      <c r="X12" s="1576"/>
      <c r="Y12" s="3292"/>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35"/>
      <c r="Q13" s="1154">
        <f t="shared" si="6"/>
        <v>111</v>
      </c>
      <c r="R13" s="1574" t="s">
        <v>8</v>
      </c>
      <c r="S13" s="1575">
        <f t="shared" si="0"/>
        <v>100</v>
      </c>
      <c r="T13" s="1574" t="s">
        <v>8</v>
      </c>
      <c r="U13" s="1575">
        <f t="shared" si="1"/>
        <v>100</v>
      </c>
      <c r="V13" s="1574" t="s">
        <v>8</v>
      </c>
      <c r="W13" s="1575">
        <f t="shared" si="2"/>
        <v>100</v>
      </c>
      <c r="X13" s="1576"/>
      <c r="Y13" s="3292"/>
      <c r="Z13" s="1153">
        <f t="shared" si="7"/>
        <v>111</v>
      </c>
      <c r="AA13" s="1577">
        <f t="shared" si="3"/>
        <v>1</v>
      </c>
      <c r="AB13" s="1577">
        <f t="shared" si="4"/>
        <v>1</v>
      </c>
      <c r="AC13" s="1577">
        <f t="shared" si="5"/>
        <v>1</v>
      </c>
    </row>
    <row r="14" spans="1:29" ht="85.5">
      <c r="A14" s="2950" t="s">
        <v>2772</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37" t="s">
        <v>541</v>
      </c>
      <c r="Q14" s="1578" t="str">
        <f t="shared" si="6"/>
        <v>交通便捷度</v>
      </c>
      <c r="R14" s="1579" t="s">
        <v>8</v>
      </c>
      <c r="S14" s="1580">
        <f t="shared" si="0"/>
        <v>100</v>
      </c>
      <c r="T14" s="1579" t="s">
        <v>8</v>
      </c>
      <c r="U14" s="1580">
        <f t="shared" si="1"/>
        <v>100</v>
      </c>
      <c r="V14" s="1579" t="s">
        <v>8</v>
      </c>
      <c r="W14" s="1580">
        <f t="shared" si="2"/>
        <v>100</v>
      </c>
      <c r="X14" s="1573"/>
      <c r="Y14" s="3337"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38"/>
      <c r="Q15" s="1578"/>
      <c r="R15" s="1579"/>
      <c r="S15" s="1580"/>
      <c r="T15" s="1579"/>
      <c r="U15" s="1580"/>
      <c r="V15" s="1579"/>
      <c r="W15" s="1580"/>
      <c r="X15" s="1573"/>
      <c r="Y15" s="3338"/>
      <c r="Z15" s="1581"/>
      <c r="AA15" s="1582">
        <v>1</v>
      </c>
      <c r="AB15" s="1582">
        <v>1</v>
      </c>
      <c r="AC15" s="1582">
        <v>1</v>
      </c>
    </row>
    <row r="16" spans="1:29" ht="42.75">
      <c r="A16" s="535"/>
      <c r="B16" s="2639" t="s">
        <v>2561</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38"/>
      <c r="Q16" s="1578" t="str">
        <f>B16</f>
        <v>公共配套设施</v>
      </c>
      <c r="R16" s="1579" t="s">
        <v>8</v>
      </c>
      <c r="S16" s="1580">
        <f>F16</f>
        <v>100</v>
      </c>
      <c r="T16" s="1579" t="s">
        <v>8</v>
      </c>
      <c r="U16" s="1580">
        <f>H16</f>
        <v>100</v>
      </c>
      <c r="V16" s="1579" t="s">
        <v>8</v>
      </c>
      <c r="W16" s="1580">
        <f>J16</f>
        <v>100</v>
      </c>
      <c r="X16" s="1573"/>
      <c r="Y16" s="3338"/>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38"/>
      <c r="Q17" s="1578"/>
      <c r="R17" s="1579"/>
      <c r="S17" s="1580"/>
      <c r="T17" s="1579"/>
      <c r="U17" s="1580"/>
      <c r="V17" s="1579"/>
      <c r="W17" s="1580"/>
      <c r="X17" s="1573"/>
      <c r="Y17" s="3338"/>
      <c r="Z17" s="1581"/>
      <c r="AA17" s="1582">
        <v>1</v>
      </c>
      <c r="AB17" s="1582">
        <v>1</v>
      </c>
      <c r="AC17" s="1582">
        <v>1</v>
      </c>
    </row>
    <row r="18" spans="1:29" ht="28.5">
      <c r="A18" s="535"/>
      <c r="B18" s="2627" t="s">
        <v>2573</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38"/>
      <c r="Q18" s="2615" t="str">
        <f>B18</f>
        <v>基础设施水平</v>
      </c>
      <c r="R18" s="1579" t="s">
        <v>8</v>
      </c>
      <c r="S18" s="1580">
        <f>F18</f>
        <v>100</v>
      </c>
      <c r="T18" s="1579" t="s">
        <v>8</v>
      </c>
      <c r="U18" s="1580">
        <f>H18</f>
        <v>100</v>
      </c>
      <c r="V18" s="1579" t="s">
        <v>8</v>
      </c>
      <c r="W18" s="1580">
        <f>J18</f>
        <v>100</v>
      </c>
      <c r="X18" s="2617"/>
      <c r="Y18" s="3338"/>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38"/>
      <c r="Q19" s="2615"/>
      <c r="R19" s="1579"/>
      <c r="S19" s="1580"/>
      <c r="T19" s="1579"/>
      <c r="U19" s="1580"/>
      <c r="V19" s="1579"/>
      <c r="W19" s="1580"/>
      <c r="X19" s="2617"/>
      <c r="Y19" s="3338"/>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38"/>
      <c r="Q20" s="1578" t="str">
        <f>B20</f>
        <v>自然及人文环境</v>
      </c>
      <c r="R20" s="1579" t="s">
        <v>8</v>
      </c>
      <c r="S20" s="1580">
        <f>F20</f>
        <v>100</v>
      </c>
      <c r="T20" s="1579" t="s">
        <v>8</v>
      </c>
      <c r="U20" s="1580">
        <f>H20</f>
        <v>100</v>
      </c>
      <c r="V20" s="1579" t="s">
        <v>8</v>
      </c>
      <c r="W20" s="1580">
        <f>J20</f>
        <v>100</v>
      </c>
      <c r="X20" s="1573"/>
      <c r="Y20" s="3338"/>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38"/>
      <c r="Q21" s="1578"/>
      <c r="R21" s="1579"/>
      <c r="S21" s="1580"/>
      <c r="T21" s="1579"/>
      <c r="U21" s="1580"/>
      <c r="V21" s="1579"/>
      <c r="W21" s="1580"/>
      <c r="X21" s="1573"/>
      <c r="Y21" s="3338"/>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38"/>
      <c r="Q22" s="1578" t="str">
        <f>B22</f>
        <v>楼层</v>
      </c>
      <c r="R22" s="1579" t="s">
        <v>8</v>
      </c>
      <c r="S22" s="1580">
        <f>F22</f>
        <v>100</v>
      </c>
      <c r="T22" s="1579" t="s">
        <v>8</v>
      </c>
      <c r="U22" s="1580">
        <f>H22</f>
        <v>100</v>
      </c>
      <c r="V22" s="1579" t="s">
        <v>8</v>
      </c>
      <c r="W22" s="1580">
        <f>J22</f>
        <v>100</v>
      </c>
      <c r="X22" s="1573"/>
      <c r="Y22" s="3338"/>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38"/>
      <c r="Q23" s="1578">
        <f>B23</f>
        <v>111</v>
      </c>
      <c r="R23" s="1579" t="s">
        <v>8</v>
      </c>
      <c r="S23" s="1580">
        <f>F23</f>
        <v>100</v>
      </c>
      <c r="T23" s="1579" t="s">
        <v>8</v>
      </c>
      <c r="U23" s="1580">
        <f>H23</f>
        <v>100</v>
      </c>
      <c r="V23" s="1579" t="s">
        <v>8</v>
      </c>
      <c r="W23" s="1580">
        <f>J23</f>
        <v>100</v>
      </c>
      <c r="X23" s="1573"/>
      <c r="Y23" s="3338"/>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38"/>
      <c r="Q24" s="1578">
        <f t="shared" ref="Q24:Q34" si="11">B24</f>
        <v>111</v>
      </c>
      <c r="R24" s="1579" t="s">
        <v>8</v>
      </c>
      <c r="S24" s="1580">
        <f>F24</f>
        <v>100</v>
      </c>
      <c r="T24" s="1579" t="s">
        <v>8</v>
      </c>
      <c r="U24" s="1580">
        <f>H24</f>
        <v>100</v>
      </c>
      <c r="V24" s="1579" t="s">
        <v>8</v>
      </c>
      <c r="W24" s="1580">
        <f>J24</f>
        <v>100</v>
      </c>
      <c r="X24" s="1573"/>
      <c r="Y24" s="3338"/>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38"/>
      <c r="Q25" s="1154">
        <f t="shared" si="11"/>
        <v>111</v>
      </c>
      <c r="R25" s="1574" t="s">
        <v>8</v>
      </c>
      <c r="S25" s="1575">
        <f>F25</f>
        <v>100</v>
      </c>
      <c r="T25" s="1574" t="s">
        <v>8</v>
      </c>
      <c r="U25" s="1575">
        <f>H25</f>
        <v>100</v>
      </c>
      <c r="V25" s="1574" t="s">
        <v>8</v>
      </c>
      <c r="W25" s="1575">
        <f>J25</f>
        <v>100</v>
      </c>
      <c r="X25" s="1576"/>
      <c r="Y25" s="3338"/>
      <c r="Z25" s="1153">
        <f>Q25</f>
        <v>111</v>
      </c>
      <c r="AA25" s="1582">
        <f>D25/F25</f>
        <v>1</v>
      </c>
      <c r="AB25" s="1582">
        <f>D25/H25</f>
        <v>1</v>
      </c>
      <c r="AC25" s="1582">
        <f>D25/J25</f>
        <v>1</v>
      </c>
    </row>
    <row r="26" spans="1:29" ht="15">
      <c r="A26" s="2947" t="s">
        <v>2773</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39"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40"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40"/>
      <c r="Q27" s="1611" t="str">
        <f t="shared" si="11"/>
        <v>成新率</v>
      </c>
      <c r="R27" s="1583" t="s">
        <v>8</v>
      </c>
      <c r="S27" s="1584" t="e">
        <f t="shared" si="12"/>
        <v>#N/A</v>
      </c>
      <c r="T27" s="1583" t="s">
        <v>8</v>
      </c>
      <c r="U27" s="1584" t="e">
        <f t="shared" si="13"/>
        <v>#N/A</v>
      </c>
      <c r="V27" s="1583" t="s">
        <v>8</v>
      </c>
      <c r="W27" s="1584" t="e">
        <f t="shared" si="14"/>
        <v>#N/A</v>
      </c>
      <c r="X27" s="1585"/>
      <c r="Y27" s="3340"/>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40"/>
      <c r="Q28" s="1578" t="str">
        <f t="shared" si="11"/>
        <v>物业等级</v>
      </c>
      <c r="R28" s="1579" t="s">
        <v>8</v>
      </c>
      <c r="S28" s="1580">
        <f t="shared" si="12"/>
        <v>100</v>
      </c>
      <c r="T28" s="1579" t="s">
        <v>8</v>
      </c>
      <c r="U28" s="1580">
        <f t="shared" si="13"/>
        <v>100</v>
      </c>
      <c r="V28" s="1579" t="s">
        <v>8</v>
      </c>
      <c r="W28" s="1580">
        <f t="shared" si="14"/>
        <v>100</v>
      </c>
      <c r="X28" s="1573"/>
      <c r="Y28" s="3340"/>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40"/>
      <c r="Q29" s="1578" t="str">
        <f t="shared" si="11"/>
        <v>有无电梯</v>
      </c>
      <c r="R29" s="1579" t="s">
        <v>8</v>
      </c>
      <c r="S29" s="1580">
        <f t="shared" si="12"/>
        <v>100</v>
      </c>
      <c r="T29" s="1579" t="s">
        <v>8</v>
      </c>
      <c r="U29" s="1580">
        <f t="shared" si="13"/>
        <v>100</v>
      </c>
      <c r="V29" s="1579" t="s">
        <v>8</v>
      </c>
      <c r="W29" s="1580">
        <f t="shared" si="14"/>
        <v>100</v>
      </c>
      <c r="X29" s="1573"/>
      <c r="Y29" s="3340"/>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40"/>
      <c r="Q30" s="1578" t="str">
        <f t="shared" si="11"/>
        <v>建筑面积</v>
      </c>
      <c r="R30" s="1579" t="s">
        <v>8</v>
      </c>
      <c r="S30" s="1580" t="e">
        <f t="shared" si="12"/>
        <v>#N/A</v>
      </c>
      <c r="T30" s="1579" t="s">
        <v>8</v>
      </c>
      <c r="U30" s="1580" t="e">
        <f t="shared" si="13"/>
        <v>#N/A</v>
      </c>
      <c r="V30" s="1579" t="s">
        <v>8</v>
      </c>
      <c r="W30" s="1580" t="e">
        <f t="shared" si="14"/>
        <v>#N/A</v>
      </c>
      <c r="X30" s="1573"/>
      <c r="Y30" s="3340"/>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40"/>
      <c r="Q31" s="1154" t="str">
        <f t="shared" si="11"/>
        <v>是否封闭</v>
      </c>
      <c r="R31" s="1574" t="s">
        <v>8</v>
      </c>
      <c r="S31" s="1575">
        <f t="shared" si="12"/>
        <v>100</v>
      </c>
      <c r="T31" s="1574" t="s">
        <v>8</v>
      </c>
      <c r="U31" s="1575">
        <f t="shared" si="13"/>
        <v>100</v>
      </c>
      <c r="V31" s="1574" t="s">
        <v>8</v>
      </c>
      <c r="W31" s="1575">
        <f t="shared" si="14"/>
        <v>100</v>
      </c>
      <c r="X31" s="1576"/>
      <c r="Y31" s="3340"/>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40" t="s">
        <v>551</v>
      </c>
      <c r="Q32" s="1578">
        <f t="shared" si="11"/>
        <v>111</v>
      </c>
      <c r="R32" s="1579" t="s">
        <v>8</v>
      </c>
      <c r="S32" s="1580">
        <f t="shared" si="12"/>
        <v>100</v>
      </c>
      <c r="T32" s="1579" t="s">
        <v>8</v>
      </c>
      <c r="U32" s="1580">
        <f t="shared" si="13"/>
        <v>100</v>
      </c>
      <c r="V32" s="1579" t="s">
        <v>8</v>
      </c>
      <c r="W32" s="1580">
        <f t="shared" si="14"/>
        <v>100</v>
      </c>
      <c r="X32" s="1573"/>
      <c r="Y32" s="3340"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40"/>
      <c r="Q33" s="1578">
        <f t="shared" si="11"/>
        <v>111</v>
      </c>
      <c r="R33" s="1579" t="s">
        <v>8</v>
      </c>
      <c r="S33" s="1580">
        <f t="shared" si="12"/>
        <v>100</v>
      </c>
      <c r="T33" s="1579" t="s">
        <v>8</v>
      </c>
      <c r="U33" s="1580">
        <f t="shared" si="13"/>
        <v>100</v>
      </c>
      <c r="V33" s="1579" t="s">
        <v>8</v>
      </c>
      <c r="W33" s="1580">
        <f t="shared" si="14"/>
        <v>100</v>
      </c>
      <c r="X33" s="1573"/>
      <c r="Y33" s="3340"/>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40"/>
      <c r="Q34" s="1578">
        <f t="shared" si="11"/>
        <v>111</v>
      </c>
      <c r="R34" s="1579" t="s">
        <v>8</v>
      </c>
      <c r="S34" s="1580">
        <f t="shared" si="12"/>
        <v>100</v>
      </c>
      <c r="T34" s="1579" t="s">
        <v>8</v>
      </c>
      <c r="U34" s="1580">
        <f t="shared" si="13"/>
        <v>100</v>
      </c>
      <c r="V34" s="1579" t="s">
        <v>8</v>
      </c>
      <c r="W34" s="1580">
        <f t="shared" si="14"/>
        <v>100</v>
      </c>
      <c r="X34" s="1573"/>
      <c r="Y34" s="3340"/>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35" t="str">
        <f>A35</f>
        <v>成交单价（元/平方米）</v>
      </c>
      <c r="Q35" s="3335"/>
      <c r="R35" s="3430">
        <f>E35</f>
        <v>0</v>
      </c>
      <c r="S35" s="3430"/>
      <c r="T35" s="3430">
        <f>G35</f>
        <v>0</v>
      </c>
      <c r="U35" s="3430"/>
      <c r="V35" s="3430">
        <f>I35</f>
        <v>0</v>
      </c>
      <c r="W35" s="3430"/>
      <c r="X35" s="1565"/>
      <c r="Y35" s="1587"/>
      <c r="Z35" s="1565"/>
      <c r="AA35" s="1565"/>
      <c r="AB35" s="1565"/>
      <c r="AC35" s="1565"/>
    </row>
    <row r="36" spans="1:29" ht="15.75" thickBot="1">
      <c r="A36" s="618" t="s">
        <v>2778</v>
      </c>
      <c r="B36" s="891"/>
      <c r="C36" s="2669" t="e">
        <f>R37</f>
        <v>#DIV/0!</v>
      </c>
      <c r="D36" s="2670"/>
      <c r="E36" s="2671" t="e">
        <f>R36</f>
        <v>#DIV/0!</v>
      </c>
      <c r="F36" s="2671"/>
      <c r="G36" s="2669" t="e">
        <f>T36</f>
        <v>#DIV/0!</v>
      </c>
      <c r="H36" s="2670"/>
      <c r="I36" s="2671" t="e">
        <f>V36</f>
        <v>#DIV/0!</v>
      </c>
      <c r="J36" s="2670"/>
      <c r="K36" s="1618"/>
      <c r="L36" s="2155"/>
      <c r="M36" s="2156"/>
      <c r="N36" s="2145"/>
      <c r="O36" s="2156"/>
      <c r="P36" s="3335" t="str">
        <f>A36</f>
        <v>比较价格（元/平方米）</v>
      </c>
      <c r="Q36" s="3335"/>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1565"/>
      <c r="Y36" s="1565"/>
      <c r="Z36" s="1565"/>
      <c r="AA36" s="1565"/>
      <c r="AB36" s="1565"/>
      <c r="AC36" s="1565"/>
    </row>
    <row r="37" spans="1:29" ht="15.75" thickBot="1">
      <c r="A37" s="624" t="s">
        <v>2955</v>
      </c>
      <c r="B37" s="625"/>
      <c r="C37" s="2672" t="e">
        <f>R37</f>
        <v>#DIV/0!</v>
      </c>
      <c r="D37" s="2672"/>
      <c r="E37" s="2672"/>
      <c r="F37" s="2672"/>
      <c r="G37" s="2672"/>
      <c r="H37" s="2672"/>
      <c r="I37" s="2672"/>
      <c r="J37" s="2672"/>
      <c r="K37" s="1619"/>
      <c r="L37" s="2155"/>
      <c r="M37" s="2156"/>
      <c r="N37" s="2156"/>
      <c r="O37" s="2156"/>
      <c r="P37" s="3356" t="str">
        <f>A37</f>
        <v>估价对象XX用房的比较价格（楼面单价，元/平方米）</v>
      </c>
      <c r="Q37" s="3357"/>
      <c r="R37" s="3429" t="e">
        <f>IF(F1="售价",ROUND(AVERAGE(R36:V36),0),ROUND(AVERAGE(R36:V36),1))</f>
        <v>#DIV/0!</v>
      </c>
      <c r="S37" s="3429"/>
      <c r="T37" s="3429"/>
      <c r="U37" s="3429"/>
      <c r="V37" s="3429"/>
      <c r="W37" s="3429"/>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2572</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2573</v>
      </c>
      <c r="C65" s="2634" t="s">
        <v>2574</v>
      </c>
      <c r="D65" s="2634" t="s">
        <v>2575</v>
      </c>
      <c r="E65" s="2634" t="s">
        <v>2576</v>
      </c>
      <c r="F65" s="2634" t="s">
        <v>2577</v>
      </c>
      <c r="G65" s="2634" t="s">
        <v>2578</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2315</v>
      </c>
      <c r="C1" s="3439" t="s">
        <v>2316</v>
      </c>
      <c r="D1" s="3440"/>
      <c r="E1" s="3440"/>
      <c r="F1" s="3440"/>
      <c r="G1" s="3440"/>
      <c r="H1" s="3440"/>
      <c r="I1" s="3440"/>
      <c r="J1" s="3440"/>
      <c r="K1" s="3440"/>
      <c r="L1" s="3440"/>
      <c r="M1" s="3440"/>
      <c r="N1" s="3440"/>
      <c r="O1" s="3440"/>
      <c r="P1" s="3440"/>
      <c r="Q1" s="3440"/>
      <c r="R1" s="3440"/>
      <c r="S1" s="3441"/>
      <c r="T1" s="2245" t="s">
        <v>2317</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2318</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30" t="s">
        <v>2948</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2" t="s">
        <v>2947</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2" t="s">
        <v>2946</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31"/>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30" t="s">
        <v>2961</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30" t="s">
        <v>2945</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30" t="s">
        <v>2944</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2319</v>
      </c>
      <c r="B17" s="2289" t="s">
        <v>2320</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36" t="s">
        <v>20</v>
      </c>
      <c r="D22" s="3437"/>
      <c r="E22" s="3437"/>
      <c r="F22" s="3437"/>
      <c r="G22" s="3437"/>
      <c r="H22" s="3437"/>
      <c r="I22" s="3437"/>
      <c r="J22" s="3437"/>
      <c r="K22" s="3437"/>
      <c r="L22" s="3437"/>
      <c r="M22" s="3437"/>
      <c r="N22" s="3437"/>
      <c r="O22" s="3437"/>
      <c r="P22" s="3437"/>
      <c r="Q22" s="3438"/>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2806</v>
      </c>
      <c r="C1" s="3044">
        <f>项目基本情况!D3</f>
        <v>42923</v>
      </c>
      <c r="H1" s="2978">
        <f>IF(C1&gt;C13,0,MATCH(C1,C$13:C$100,-1))+IF(SUMIF(C13:C100,C1,D13:D100)=0,13,12)</f>
        <v>13</v>
      </c>
      <c r="I1" s="2978">
        <f>MATCH(C2,H3:H7,1)+IF(SUMIF(H3:H7,C2,I3:I7)=0,2,1)</f>
        <v>6</v>
      </c>
      <c r="J1" s="3037">
        <f ca="1">MATCH(C3,H3:H7,1)+IF(SUMIF(H3:H7,C3,J3:J7)=0,2,1)</f>
        <v>3</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2837</v>
      </c>
      <c r="C2" s="3045">
        <f>'数据-取费表'!B22</f>
        <v>3.5</v>
      </c>
      <c r="D2" s="3040" t="s">
        <v>2807</v>
      </c>
      <c r="E2" s="3043">
        <f ca="1">INDIRECT("I"&amp;$I$1)/100</f>
        <v>4.7500000000000001E-2</v>
      </c>
      <c r="G2" s="2980"/>
      <c r="H2" s="2980"/>
      <c r="I2" s="2980" t="s">
        <v>2808</v>
      </c>
      <c r="K2" s="2980"/>
      <c r="L2" s="2980"/>
      <c r="M2" s="2980"/>
      <c r="N2" s="2980" t="s">
        <v>2809</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2839</v>
      </c>
      <c r="C3" s="3042">
        <f>'数据-取费表'!B19</f>
        <v>0.5</v>
      </c>
      <c r="D3" s="3040" t="s">
        <v>2807</v>
      </c>
      <c r="E3" s="3043">
        <f ca="1">INDIRECT("J"&amp;$J$1)/100</f>
        <v>4.3499999999999997E-2</v>
      </c>
      <c r="G3" s="2982" t="s">
        <v>2810</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2838</v>
      </c>
      <c r="C4" s="3043">
        <f ca="1">N4/100</f>
        <v>1.4999999999999999E-2</v>
      </c>
      <c r="G4" s="2988" t="s">
        <v>2811</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2812</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2813</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2814</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2815</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2816</v>
      </c>
      <c r="C10" s="3007"/>
      <c r="D10" s="3007"/>
      <c r="E10" s="3007"/>
      <c r="F10" s="3007"/>
      <c r="G10" s="3007"/>
      <c r="H10" s="3007"/>
      <c r="I10" s="2981"/>
      <c r="J10" s="2981"/>
      <c r="K10" s="3007"/>
      <c r="L10" s="3008" t="s">
        <v>2817</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2818</v>
      </c>
      <c r="C11" s="3012" t="s">
        <v>2819</v>
      </c>
      <c r="D11" s="3013" t="s">
        <v>2820</v>
      </c>
      <c r="E11" s="3014"/>
      <c r="F11" s="3013" t="s">
        <v>2821</v>
      </c>
      <c r="G11" s="3015"/>
      <c r="H11" s="3014"/>
      <c r="I11" s="3013" t="s">
        <v>2822</v>
      </c>
      <c r="J11" s="3014"/>
      <c r="K11" s="3010"/>
      <c r="L11" s="3011" t="s">
        <v>2818</v>
      </c>
      <c r="M11" s="3012" t="s">
        <v>2819</v>
      </c>
      <c r="N11" s="3011" t="s">
        <v>2823</v>
      </c>
      <c r="O11" s="3013" t="s">
        <v>2824</v>
      </c>
      <c r="P11" s="3015"/>
      <c r="Q11" s="3015"/>
      <c r="R11" s="3015"/>
      <c r="S11" s="3015"/>
      <c r="T11" s="3014"/>
      <c r="U11" s="3013" t="s">
        <v>2825</v>
      </c>
      <c r="V11" s="3015"/>
      <c r="W11" s="3014"/>
      <c r="X11" s="3011" t="s">
        <v>2826</v>
      </c>
      <c r="Y11" s="3011" t="s">
        <v>2827</v>
      </c>
      <c r="Z11" s="3011" t="s">
        <v>2828</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2829</v>
      </c>
      <c r="E12" s="3020" t="s">
        <v>2830</v>
      </c>
      <c r="F12" s="3020" t="s">
        <v>2831</v>
      </c>
      <c r="G12" s="3020" t="s">
        <v>2832</v>
      </c>
      <c r="H12" s="3020" t="s">
        <v>2814</v>
      </c>
      <c r="I12" s="3021" t="s">
        <v>2833</v>
      </c>
      <c r="J12" s="3021" t="s">
        <v>2833</v>
      </c>
      <c r="K12" s="3017"/>
      <c r="L12" s="3018"/>
      <c r="M12" s="3019"/>
      <c r="N12" s="3018"/>
      <c r="O12" s="3021" t="s">
        <v>2834</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2835</v>
      </c>
      <c r="C13" s="3025">
        <v>42301</v>
      </c>
      <c r="D13" s="3026">
        <v>4.3499999999999996</v>
      </c>
      <c r="E13" s="3026">
        <v>4.3499999999999996</v>
      </c>
      <c r="F13" s="3026">
        <v>4.75</v>
      </c>
      <c r="G13" s="3026">
        <v>4.75</v>
      </c>
      <c r="H13" s="3026">
        <v>4.9000000000000004</v>
      </c>
      <c r="I13" s="3026">
        <v>2.75</v>
      </c>
      <c r="J13" s="3026">
        <v>3.25</v>
      </c>
      <c r="K13" s="3023"/>
      <c r="L13" s="3024" t="s">
        <v>2835</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2836</v>
      </c>
      <c r="Y42" s="3030" t="s">
        <v>2836</v>
      </c>
      <c r="Z42" s="3030" t="s">
        <v>2836</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2836</v>
      </c>
      <c r="Y43" s="3030" t="s">
        <v>2836</v>
      </c>
      <c r="Z43" s="3030" t="s">
        <v>2836</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2836</v>
      </c>
      <c r="Y44" s="3030" t="s">
        <v>2836</v>
      </c>
      <c r="Z44" s="3030" t="s">
        <v>2836</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2836</v>
      </c>
      <c r="Y45" s="3030" t="s">
        <v>2836</v>
      </c>
      <c r="Z45" s="3030" t="s">
        <v>2836</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2836</v>
      </c>
      <c r="Y46" s="3030" t="s">
        <v>2836</v>
      </c>
      <c r="Z46" s="3030" t="s">
        <v>2836</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2836</v>
      </c>
      <c r="Y47" s="3030" t="s">
        <v>2836</v>
      </c>
      <c r="Z47" s="3030" t="s">
        <v>2836</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2836</v>
      </c>
      <c r="Y48" s="3030" t="s">
        <v>2836</v>
      </c>
      <c r="Z48" s="3030" t="s">
        <v>2836</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2836</v>
      </c>
      <c r="Y49" s="3030" t="s">
        <v>2836</v>
      </c>
      <c r="Z49" s="3030" t="s">
        <v>2836</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2836</v>
      </c>
      <c r="Y50" s="3030" t="s">
        <v>2836</v>
      </c>
      <c r="Z50" s="3030" t="s">
        <v>2836</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2836</v>
      </c>
      <c r="V51" s="3030" t="s">
        <v>2836</v>
      </c>
      <c r="W51" s="3030" t="s">
        <v>2836</v>
      </c>
      <c r="X51" s="3030" t="s">
        <v>2836</v>
      </c>
      <c r="Y51" s="3030" t="s">
        <v>2836</v>
      </c>
      <c r="Z51" s="3030" t="s">
        <v>2836</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2836</v>
      </c>
      <c r="J55" s="3030" t="s">
        <v>2836</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v>
      </c>
    </row>
    <row r="4" spans="1:4" ht="18.75">
      <c r="A4" s="1798" t="str">
        <f>"受贵公司委托，我公司对"&amp;项目基本情况!K2&amp;项目基本情况!B9&amp;"进行了预评估。"</f>
        <v>受贵公司委托，我公司对出让国有建设用地使用权进行了预评估。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102554.85平方米。根据《建设工程规划许可证》[]、《出让合同》[]，估价对象规划建筑面积为205109.7平方米。</v>
      </c>
    </row>
    <row r="7" spans="1:4" ht="93.75">
      <c r="A7" s="2913" t="s">
        <v>2766</v>
      </c>
    </row>
    <row r="8" spans="1:4" ht="18.75">
      <c r="A8" s="1801" t="s">
        <v>1911</v>
      </c>
    </row>
    <row r="9" spans="1:4" ht="37.5">
      <c r="A9" s="180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4" t="s">
        <v>2037</v>
      </c>
    </row>
    <row r="11" spans="1:4" ht="18.75">
      <c r="A11" s="1787" t="str">
        <f>TEXT(项目基本情况!D3,"yyyy年m月d日;;")&amp;IF(项目基本情况!B3=项目基本情况!D3,"（评估专业人员勘察现场之日）","")</f>
        <v>2017年7月7日（评估专业人员勘察现场之日）</v>
      </c>
    </row>
    <row r="12" spans="1:4" ht="18.75">
      <c r="A12" s="1804" t="s">
        <v>2036</v>
      </c>
    </row>
    <row r="13" spans="1:4" ht="18.75">
      <c r="A13" s="1798" t="s">
        <v>2082</v>
      </c>
    </row>
    <row r="14" spans="1:4" ht="18.75">
      <c r="A14" s="1798" t="str">
        <f>"根据"&amp;项目基本情况!F12&amp;"，本次评估估价对象证载（地类）用途为"&amp;项目基本情况!B12&amp;"。"</f>
        <v>根据《国有土地使用证》[]，本次评估估价对象证载（地类）用途为。</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8"/>
      <c r="D15" s="1789"/>
    </row>
    <row r="16" spans="1:4" ht="18.75">
      <c r="A16" s="1798" t="s">
        <v>2083</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2084</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根据《国有土地使用证》[]，估价对象（分摊）出让国有建设用地使用权面积为102554.85平方米。根据《建设工程规划许可证》[]、《出让合同》[]，估价对象规划建筑面积为205109.7平方米。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2085</v>
      </c>
    </row>
    <row r="23" spans="1:1" ht="18.75">
      <c r="A23" s="2915" t="s">
        <v>2767</v>
      </c>
    </row>
    <row r="24" spans="1:1" ht="18.75">
      <c r="A24" s="1798" t="s">
        <v>2086</v>
      </c>
    </row>
    <row r="25" spans="1:1" ht="75">
      <c r="A25" s="1798" t="str">
        <f>定义!C53</f>
        <v>本次估价的“出让国有建设用地使用权价格”是指在估价对象土地所有权为国家所有，使用权性质为出让，在公开市场条件下、于估价期日2017年7月7日，在规划利用条件下、设定土地开发程度为红线外“七通”、宗地内场地，设定用途为，剩余土地使用年限为的出让国有建设用地使用权价格。</v>
      </c>
    </row>
    <row r="26" spans="1:1" ht="9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2038</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E1" workbookViewId="0">
      <selection activeCell="P38" sqref="P38"/>
    </sheetView>
  </sheetViews>
  <sheetFormatPr defaultRowHeight="13.5"/>
  <cols>
    <col min="1" max="1" width="23" customWidth="1"/>
    <col min="4" max="4" width="0" hidden="1" customWidth="1"/>
    <col min="7" max="7" width="19.75" customWidth="1"/>
    <col min="9" max="9" width="19.25" customWidth="1"/>
  </cols>
  <sheetData>
    <row r="1" spans="1:14">
      <c r="A1" s="3148" t="s">
        <v>2965</v>
      </c>
      <c r="B1" s="3148" t="s">
        <v>2966</v>
      </c>
      <c r="C1" s="3148" t="s">
        <v>2967</v>
      </c>
      <c r="D1" s="3148" t="s">
        <v>2968</v>
      </c>
      <c r="E1" s="3148" t="s">
        <v>2969</v>
      </c>
      <c r="F1" s="3148" t="s">
        <v>2970</v>
      </c>
      <c r="G1" s="3148" t="s">
        <v>2043</v>
      </c>
      <c r="H1" s="3148" t="s">
        <v>2971</v>
      </c>
      <c r="I1" s="3148" t="s">
        <v>2972</v>
      </c>
      <c r="J1" s="3148" t="s">
        <v>2973</v>
      </c>
      <c r="K1" s="3148" t="s">
        <v>2974</v>
      </c>
      <c r="L1" s="3148" t="s">
        <v>2975</v>
      </c>
      <c r="M1" s="3148" t="s">
        <v>2976</v>
      </c>
      <c r="N1" s="3442" t="s">
        <v>3099</v>
      </c>
    </row>
    <row r="2" spans="1:14">
      <c r="A2" s="3148" t="s">
        <v>2977</v>
      </c>
      <c r="B2" s="3148" t="s">
        <v>2978</v>
      </c>
      <c r="C2" s="3148" t="s">
        <v>2979</v>
      </c>
      <c r="D2" s="3148" t="s">
        <v>2980</v>
      </c>
      <c r="E2" s="3148">
        <v>110293</v>
      </c>
      <c r="F2" s="3148">
        <v>220585.9</v>
      </c>
      <c r="G2" s="3148" t="s">
        <v>2981</v>
      </c>
      <c r="H2" s="3148" t="s">
        <v>2982</v>
      </c>
      <c r="I2" s="3148" t="s">
        <v>2983</v>
      </c>
      <c r="J2" s="3148">
        <v>24850</v>
      </c>
      <c r="K2" s="3148">
        <v>150.21</v>
      </c>
      <c r="L2" s="3148">
        <v>1126.54</v>
      </c>
      <c r="M2" s="3148">
        <v>15.05</v>
      </c>
      <c r="N2">
        <f>ROUND(J2*10000/E2,0)</f>
        <v>2253</v>
      </c>
    </row>
    <row r="3" spans="1:14">
      <c r="A3" s="3148" t="s">
        <v>2984</v>
      </c>
      <c r="B3" s="3148" t="s">
        <v>2978</v>
      </c>
      <c r="C3" s="3148" t="s">
        <v>2985</v>
      </c>
      <c r="D3" s="3148" t="s">
        <v>2980</v>
      </c>
      <c r="E3" s="3148">
        <v>49448.74</v>
      </c>
      <c r="F3" s="3148">
        <v>98897.48</v>
      </c>
      <c r="G3" s="3148" t="s">
        <v>2981</v>
      </c>
      <c r="H3" s="3148" t="s">
        <v>2982</v>
      </c>
      <c r="I3" s="3148" t="s">
        <v>2986</v>
      </c>
      <c r="J3" s="3148">
        <v>8950</v>
      </c>
      <c r="K3" s="3148">
        <v>120.66</v>
      </c>
      <c r="L3" s="3148">
        <v>904.98</v>
      </c>
      <c r="M3" s="3148">
        <v>19.329999999999998</v>
      </c>
      <c r="N3">
        <f t="shared" ref="N3:N51" si="0">ROUND(J3*10000/E3,0)</f>
        <v>1810</v>
      </c>
    </row>
    <row r="4" spans="1:14">
      <c r="A4" s="3148" t="s">
        <v>2987</v>
      </c>
      <c r="B4" s="3148" t="s">
        <v>2978</v>
      </c>
      <c r="C4" s="3148" t="s">
        <v>2985</v>
      </c>
      <c r="D4" s="3148" t="s">
        <v>2980</v>
      </c>
      <c r="E4" s="3148">
        <v>121262.8</v>
      </c>
      <c r="F4" s="3148">
        <v>218273</v>
      </c>
      <c r="G4" s="3148" t="s">
        <v>2988</v>
      </c>
      <c r="H4" s="3148" t="s">
        <v>2982</v>
      </c>
      <c r="I4" s="3148" t="s">
        <v>2986</v>
      </c>
      <c r="J4" s="3148">
        <v>21850</v>
      </c>
      <c r="K4" s="3148">
        <v>120.12</v>
      </c>
      <c r="L4" s="3148">
        <v>1001.03</v>
      </c>
      <c r="M4" s="3148">
        <v>20.05</v>
      </c>
      <c r="N4">
        <f t="shared" si="0"/>
        <v>1802</v>
      </c>
    </row>
    <row r="5" spans="1:14" s="3150" customFormat="1">
      <c r="A5" s="3149" t="s">
        <v>2989</v>
      </c>
      <c r="B5" s="3149" t="s">
        <v>2978</v>
      </c>
      <c r="C5" s="3149" t="s">
        <v>2979</v>
      </c>
      <c r="D5" s="3149" t="s">
        <v>2980</v>
      </c>
      <c r="E5" s="3149">
        <v>95177.22</v>
      </c>
      <c r="F5" s="3149">
        <v>190354.4</v>
      </c>
      <c r="G5" s="3149" t="s">
        <v>2990</v>
      </c>
      <c r="H5" s="3149" t="s">
        <v>2991</v>
      </c>
      <c r="I5" s="3149" t="s">
        <v>2992</v>
      </c>
      <c r="J5" s="3149">
        <v>2855</v>
      </c>
      <c r="K5" s="3149">
        <v>20</v>
      </c>
      <c r="L5" s="3149">
        <v>149.97</v>
      </c>
      <c r="M5" s="3149">
        <v>0.18</v>
      </c>
      <c r="N5">
        <f t="shared" si="0"/>
        <v>300</v>
      </c>
    </row>
    <row r="6" spans="1:14">
      <c r="A6" s="3148" t="s">
        <v>2993</v>
      </c>
      <c r="B6" s="3148" t="s">
        <v>2978</v>
      </c>
      <c r="C6" s="3148" t="s">
        <v>2979</v>
      </c>
      <c r="D6" s="3148" t="s">
        <v>2980</v>
      </c>
      <c r="E6" s="3148">
        <v>116547.9</v>
      </c>
      <c r="F6" s="3148">
        <v>233095.7</v>
      </c>
      <c r="G6" s="3148" t="s">
        <v>2990</v>
      </c>
      <c r="H6" s="3148" t="s">
        <v>2991</v>
      </c>
      <c r="I6" s="3148" t="s">
        <v>2994</v>
      </c>
      <c r="J6" s="3148">
        <v>3495</v>
      </c>
      <c r="K6" s="3148">
        <v>19.989999999999998</v>
      </c>
      <c r="L6" s="3148">
        <v>149.93</v>
      </c>
      <c r="M6" s="3148">
        <v>0.14000000000000001</v>
      </c>
      <c r="N6">
        <f t="shared" si="0"/>
        <v>300</v>
      </c>
    </row>
    <row r="7" spans="1:14">
      <c r="A7" s="3148" t="s">
        <v>2995</v>
      </c>
      <c r="B7" s="3148" t="s">
        <v>2978</v>
      </c>
      <c r="C7" s="3148" t="s">
        <v>2979</v>
      </c>
      <c r="D7" s="3148" t="s">
        <v>2980</v>
      </c>
      <c r="E7" s="3148">
        <v>60418.38</v>
      </c>
      <c r="F7" s="3148">
        <v>120836.8</v>
      </c>
      <c r="G7" s="3148" t="s">
        <v>2990</v>
      </c>
      <c r="H7" s="3148" t="s">
        <v>2991</v>
      </c>
      <c r="I7" s="3148" t="s">
        <v>2996</v>
      </c>
      <c r="J7" s="3148">
        <v>1815</v>
      </c>
      <c r="K7" s="3148">
        <v>20.03</v>
      </c>
      <c r="L7" s="3148">
        <v>150.19</v>
      </c>
      <c r="M7" s="3148">
        <v>0.28000000000000003</v>
      </c>
      <c r="N7">
        <f t="shared" si="0"/>
        <v>300</v>
      </c>
    </row>
    <row r="8" spans="1:14">
      <c r="A8" s="3148" t="s">
        <v>2997</v>
      </c>
      <c r="B8" s="3148" t="s">
        <v>2978</v>
      </c>
      <c r="C8" s="3148" t="s">
        <v>2979</v>
      </c>
      <c r="D8" s="3148" t="s">
        <v>2980</v>
      </c>
      <c r="E8" s="3148">
        <v>67477.14</v>
      </c>
      <c r="F8" s="3148">
        <v>134954.29999999999</v>
      </c>
      <c r="G8" s="3148" t="s">
        <v>2990</v>
      </c>
      <c r="H8" s="3148" t="s">
        <v>2991</v>
      </c>
      <c r="I8" s="3148" t="s">
        <v>2998</v>
      </c>
      <c r="J8" s="3148">
        <v>2025</v>
      </c>
      <c r="K8" s="3148">
        <v>20.010000000000002</v>
      </c>
      <c r="L8" s="3148">
        <v>150.05000000000001</v>
      </c>
      <c r="M8" s="3148">
        <v>0.25</v>
      </c>
      <c r="N8">
        <f t="shared" si="0"/>
        <v>300</v>
      </c>
    </row>
    <row r="9" spans="1:14">
      <c r="A9" s="3148" t="s">
        <v>2999</v>
      </c>
      <c r="B9" s="3148" t="s">
        <v>2978</v>
      </c>
      <c r="C9" s="3148" t="s">
        <v>2979</v>
      </c>
      <c r="D9" s="3148" t="s">
        <v>2980</v>
      </c>
      <c r="E9" s="3148">
        <v>89772.76</v>
      </c>
      <c r="F9" s="3148">
        <v>179545.5</v>
      </c>
      <c r="G9" s="3148" t="s">
        <v>2990</v>
      </c>
      <c r="H9" s="3148" t="s">
        <v>2991</v>
      </c>
      <c r="I9" s="3148" t="s">
        <v>2994</v>
      </c>
      <c r="J9" s="3148">
        <v>2695</v>
      </c>
      <c r="K9" s="3148">
        <v>20.010000000000002</v>
      </c>
      <c r="L9" s="3148">
        <v>150.09</v>
      </c>
      <c r="M9" s="3148">
        <v>0.19</v>
      </c>
      <c r="N9">
        <f t="shared" si="0"/>
        <v>300</v>
      </c>
    </row>
    <row r="10" spans="1:14">
      <c r="A10" s="3148" t="s">
        <v>3000</v>
      </c>
      <c r="B10" s="3148" t="s">
        <v>2978</v>
      </c>
      <c r="C10" s="3148" t="s">
        <v>2979</v>
      </c>
      <c r="D10" s="3148" t="s">
        <v>2980</v>
      </c>
      <c r="E10" s="3148">
        <v>111156.4</v>
      </c>
      <c r="F10" s="3148">
        <v>222312.8</v>
      </c>
      <c r="G10" s="3148" t="s">
        <v>2990</v>
      </c>
      <c r="H10" s="3148" t="s">
        <v>2991</v>
      </c>
      <c r="I10" s="3148" t="s">
        <v>2996</v>
      </c>
      <c r="J10" s="3148">
        <v>3335</v>
      </c>
      <c r="K10" s="3148">
        <v>20</v>
      </c>
      <c r="L10" s="3148">
        <v>150</v>
      </c>
      <c r="M10" s="3148">
        <v>0.15</v>
      </c>
      <c r="N10">
        <f t="shared" si="0"/>
        <v>300</v>
      </c>
    </row>
    <row r="11" spans="1:14">
      <c r="A11" s="3148" t="s">
        <v>3001</v>
      </c>
      <c r="B11" s="3148" t="s">
        <v>2978</v>
      </c>
      <c r="C11" s="3148" t="s">
        <v>2979</v>
      </c>
      <c r="D11" s="3148" t="s">
        <v>2980</v>
      </c>
      <c r="E11" s="3148">
        <v>85541.52</v>
      </c>
      <c r="F11" s="3148">
        <v>171083</v>
      </c>
      <c r="G11" s="3148" t="s">
        <v>2990</v>
      </c>
      <c r="H11" s="3148" t="s">
        <v>2991</v>
      </c>
      <c r="I11" s="3148" t="s">
        <v>2996</v>
      </c>
      <c r="J11" s="3148">
        <v>2565</v>
      </c>
      <c r="K11" s="3148">
        <v>19.989999999999998</v>
      </c>
      <c r="L11" s="3148">
        <v>149.93</v>
      </c>
      <c r="M11" s="3148">
        <v>0.2</v>
      </c>
      <c r="N11">
        <f t="shared" si="0"/>
        <v>300</v>
      </c>
    </row>
    <row r="12" spans="1:14">
      <c r="A12" s="3148" t="s">
        <v>3002</v>
      </c>
      <c r="B12" s="3148" t="s">
        <v>2978</v>
      </c>
      <c r="C12" s="3148" t="s">
        <v>2979</v>
      </c>
      <c r="D12" s="3148" t="s">
        <v>2980</v>
      </c>
      <c r="E12" s="3148">
        <v>87370.43</v>
      </c>
      <c r="F12" s="3148">
        <v>174740.9</v>
      </c>
      <c r="G12" s="3148" t="s">
        <v>2990</v>
      </c>
      <c r="H12" s="3148" t="s">
        <v>2991</v>
      </c>
      <c r="I12" s="3148" t="s">
        <v>2998</v>
      </c>
      <c r="J12" s="3148">
        <v>2620</v>
      </c>
      <c r="K12" s="3148">
        <v>19.989999999999998</v>
      </c>
      <c r="L12" s="3148">
        <v>149.93</v>
      </c>
      <c r="M12" s="3148">
        <v>0.19</v>
      </c>
      <c r="N12">
        <f t="shared" si="0"/>
        <v>300</v>
      </c>
    </row>
    <row r="13" spans="1:14">
      <c r="A13" s="3148" t="s">
        <v>3003</v>
      </c>
      <c r="B13" s="3148" t="s">
        <v>2978</v>
      </c>
      <c r="C13" s="3148" t="s">
        <v>2979</v>
      </c>
      <c r="D13" s="3148" t="s">
        <v>2980</v>
      </c>
      <c r="E13" s="3148">
        <v>26177.18</v>
      </c>
      <c r="F13" s="3148">
        <v>39265.769999999997</v>
      </c>
      <c r="G13" s="3148" t="s">
        <v>3004</v>
      </c>
      <c r="H13" s="3148" t="s">
        <v>2991</v>
      </c>
      <c r="I13" s="3148" t="s">
        <v>2992</v>
      </c>
      <c r="J13" s="3148">
        <v>785</v>
      </c>
      <c r="K13" s="3148">
        <v>19.989999999999998</v>
      </c>
      <c r="L13" s="3148">
        <v>199.91</v>
      </c>
      <c r="M13" s="3148">
        <v>0.64</v>
      </c>
      <c r="N13">
        <f t="shared" si="0"/>
        <v>300</v>
      </c>
    </row>
    <row r="14" spans="1:14">
      <c r="A14" s="3148" t="s">
        <v>3005</v>
      </c>
      <c r="B14" s="3148" t="s">
        <v>2978</v>
      </c>
      <c r="C14" s="3148" t="s">
        <v>2979</v>
      </c>
      <c r="D14" s="3148" t="s">
        <v>2980</v>
      </c>
      <c r="E14" s="3148">
        <v>102554.9</v>
      </c>
      <c r="F14" s="3148">
        <v>205109.7</v>
      </c>
      <c r="G14" s="3148" t="s">
        <v>2990</v>
      </c>
      <c r="H14" s="3148" t="s">
        <v>2991</v>
      </c>
      <c r="I14" s="3148" t="s">
        <v>2994</v>
      </c>
      <c r="J14" s="3148">
        <v>3075</v>
      </c>
      <c r="K14" s="3148">
        <v>19.989999999999998</v>
      </c>
      <c r="L14" s="3148">
        <v>149.91</v>
      </c>
      <c r="M14" s="3148">
        <v>0.16</v>
      </c>
      <c r="N14">
        <f t="shared" si="0"/>
        <v>300</v>
      </c>
    </row>
    <row r="15" spans="1:14">
      <c r="A15" s="3148" t="s">
        <v>3006</v>
      </c>
      <c r="B15" s="3148" t="s">
        <v>2978</v>
      </c>
      <c r="C15" s="3148" t="s">
        <v>2979</v>
      </c>
      <c r="D15" s="3148" t="s">
        <v>2980</v>
      </c>
      <c r="E15" s="3148">
        <v>83167.88</v>
      </c>
      <c r="F15" s="3148">
        <v>166335.79999999999</v>
      </c>
      <c r="G15" s="3148" t="s">
        <v>2990</v>
      </c>
      <c r="H15" s="3148" t="s">
        <v>2991</v>
      </c>
      <c r="I15" s="3148" t="s">
        <v>2998</v>
      </c>
      <c r="J15" s="3148">
        <v>2495</v>
      </c>
      <c r="K15" s="3148">
        <v>20</v>
      </c>
      <c r="L15" s="3148">
        <v>150</v>
      </c>
      <c r="M15" s="3148">
        <v>0.2</v>
      </c>
      <c r="N15">
        <f t="shared" si="0"/>
        <v>300</v>
      </c>
    </row>
    <row r="16" spans="1:14">
      <c r="A16" s="3148" t="s">
        <v>3007</v>
      </c>
      <c r="B16" s="3148" t="s">
        <v>2978</v>
      </c>
      <c r="C16" s="3148" t="s">
        <v>2979</v>
      </c>
      <c r="D16" s="3148" t="s">
        <v>2980</v>
      </c>
      <c r="E16" s="3148">
        <v>85769.38</v>
      </c>
      <c r="F16" s="3148">
        <v>171538.8</v>
      </c>
      <c r="G16" s="3148" t="s">
        <v>2990</v>
      </c>
      <c r="H16" s="3148" t="s">
        <v>2991</v>
      </c>
      <c r="I16" s="3148" t="s">
        <v>2992</v>
      </c>
      <c r="J16" s="3148">
        <v>2575</v>
      </c>
      <c r="K16" s="3148">
        <v>20.010000000000002</v>
      </c>
      <c r="L16" s="3148">
        <v>150.11000000000001</v>
      </c>
      <c r="M16" s="3148">
        <v>0.19</v>
      </c>
      <c r="N16">
        <f t="shared" si="0"/>
        <v>300</v>
      </c>
    </row>
    <row r="17" spans="1:14">
      <c r="A17" s="3148" t="s">
        <v>3008</v>
      </c>
      <c r="B17" s="3148" t="s">
        <v>2978</v>
      </c>
      <c r="C17" s="3148" t="s">
        <v>2979</v>
      </c>
      <c r="D17" s="3148" t="s">
        <v>2980</v>
      </c>
      <c r="E17" s="3148">
        <v>86081.53</v>
      </c>
      <c r="F17" s="3148">
        <v>172163.1</v>
      </c>
      <c r="G17" s="3148" t="s">
        <v>2990</v>
      </c>
      <c r="H17" s="3148" t="s">
        <v>2991</v>
      </c>
      <c r="I17" s="3148" t="s">
        <v>2998</v>
      </c>
      <c r="J17" s="3148">
        <v>2585</v>
      </c>
      <c r="K17" s="3148">
        <v>20.02</v>
      </c>
      <c r="L17" s="3148">
        <v>150.15</v>
      </c>
      <c r="M17" s="3148">
        <v>0.19</v>
      </c>
      <c r="N17">
        <f t="shared" si="0"/>
        <v>300</v>
      </c>
    </row>
    <row r="18" spans="1:14">
      <c r="A18" s="3148" t="s">
        <v>3009</v>
      </c>
      <c r="B18" s="3148" t="s">
        <v>2978</v>
      </c>
      <c r="C18" s="3148" t="s">
        <v>2979</v>
      </c>
      <c r="D18" s="3148" t="s">
        <v>2980</v>
      </c>
      <c r="E18" s="3148">
        <v>90155.97</v>
      </c>
      <c r="F18" s="3148">
        <v>162280.79999999999</v>
      </c>
      <c r="G18" s="3148" t="s">
        <v>3010</v>
      </c>
      <c r="H18" s="3148" t="s">
        <v>2991</v>
      </c>
      <c r="I18" s="3148" t="s">
        <v>2992</v>
      </c>
      <c r="J18" s="3148">
        <v>2705</v>
      </c>
      <c r="K18" s="3148">
        <v>20</v>
      </c>
      <c r="L18" s="3148">
        <v>166.68</v>
      </c>
      <c r="M18" s="3148">
        <v>0.19</v>
      </c>
      <c r="N18">
        <f t="shared" si="0"/>
        <v>300</v>
      </c>
    </row>
    <row r="19" spans="1:14">
      <c r="A19" s="3148" t="s">
        <v>3011</v>
      </c>
      <c r="B19" s="3148" t="s">
        <v>2978</v>
      </c>
      <c r="C19" s="3148" t="s">
        <v>2979</v>
      </c>
      <c r="D19" s="3148" t="s">
        <v>2980</v>
      </c>
      <c r="E19" s="3148">
        <v>73025.73</v>
      </c>
      <c r="F19" s="3148">
        <v>146051.5</v>
      </c>
      <c r="G19" s="3148" t="s">
        <v>2990</v>
      </c>
      <c r="H19" s="3148" t="s">
        <v>2991</v>
      </c>
      <c r="I19" s="3148" t="s">
        <v>2996</v>
      </c>
      <c r="J19" s="3148">
        <v>2190</v>
      </c>
      <c r="K19" s="3148">
        <v>19.989999999999998</v>
      </c>
      <c r="L19" s="3148">
        <v>149.94</v>
      </c>
      <c r="M19" s="3148">
        <v>0.23</v>
      </c>
      <c r="N19">
        <f t="shared" si="0"/>
        <v>300</v>
      </c>
    </row>
    <row r="20" spans="1:14">
      <c r="A20" s="3148" t="s">
        <v>3012</v>
      </c>
      <c r="B20" s="3148" t="s">
        <v>2978</v>
      </c>
      <c r="C20" s="3148" t="s">
        <v>2979</v>
      </c>
      <c r="D20" s="3148" t="s">
        <v>2980</v>
      </c>
      <c r="E20" s="3148">
        <v>55122</v>
      </c>
      <c r="F20" s="3148">
        <v>99219.6</v>
      </c>
      <c r="G20" s="3148" t="s">
        <v>3013</v>
      </c>
      <c r="H20" s="3148" t="s">
        <v>3014</v>
      </c>
      <c r="I20" s="3148" t="s">
        <v>3015</v>
      </c>
      <c r="J20" s="3148">
        <v>24800</v>
      </c>
      <c r="K20" s="3148">
        <v>299.94</v>
      </c>
      <c r="L20" s="3148">
        <v>2499.5100000000002</v>
      </c>
      <c r="M20" s="3148">
        <v>49.4</v>
      </c>
      <c r="N20">
        <f t="shared" si="0"/>
        <v>4499</v>
      </c>
    </row>
    <row r="21" spans="1:14">
      <c r="A21" s="3148" t="s">
        <v>3016</v>
      </c>
      <c r="B21" s="3148" t="s">
        <v>2978</v>
      </c>
      <c r="C21" s="3148" t="s">
        <v>2979</v>
      </c>
      <c r="D21" s="3148" t="s">
        <v>2980</v>
      </c>
      <c r="E21" s="3148">
        <v>33664</v>
      </c>
      <c r="F21" s="3148">
        <v>67328</v>
      </c>
      <c r="G21" s="3148" t="s">
        <v>3017</v>
      </c>
      <c r="H21" s="3148" t="s">
        <v>3014</v>
      </c>
      <c r="I21" s="3148" t="s">
        <v>3018</v>
      </c>
      <c r="J21" s="3148">
        <v>16150</v>
      </c>
      <c r="K21" s="3148">
        <v>319.83</v>
      </c>
      <c r="L21" s="3148">
        <v>2398.69</v>
      </c>
      <c r="M21" s="3148">
        <v>35.71</v>
      </c>
      <c r="N21">
        <f t="shared" si="0"/>
        <v>4797</v>
      </c>
    </row>
    <row r="22" spans="1:14">
      <c r="A22" s="3148" t="s">
        <v>3019</v>
      </c>
      <c r="B22" s="3148" t="s">
        <v>2978</v>
      </c>
      <c r="C22" s="3148" t="s">
        <v>2979</v>
      </c>
      <c r="D22" s="3148" t="s">
        <v>2980</v>
      </c>
      <c r="E22" s="3148">
        <v>66437</v>
      </c>
      <c r="F22" s="3148">
        <v>119586.6</v>
      </c>
      <c r="G22" s="3148" t="s">
        <v>3013</v>
      </c>
      <c r="H22" s="3148" t="s">
        <v>3014</v>
      </c>
      <c r="I22" s="3148" t="s">
        <v>3020</v>
      </c>
      <c r="J22" s="3148">
        <v>32880</v>
      </c>
      <c r="K22" s="3148">
        <v>329.94</v>
      </c>
      <c r="L22" s="3148">
        <v>2749.46</v>
      </c>
      <c r="M22" s="3148">
        <v>39.909999999999997</v>
      </c>
      <c r="N22">
        <f t="shared" si="0"/>
        <v>4949</v>
      </c>
    </row>
    <row r="23" spans="1:14">
      <c r="A23" s="3148" t="s">
        <v>3021</v>
      </c>
      <c r="B23" s="3148" t="s">
        <v>2978</v>
      </c>
      <c r="C23" s="3148" t="s">
        <v>2979</v>
      </c>
      <c r="D23" s="3148" t="s">
        <v>2980</v>
      </c>
      <c r="E23" s="3148">
        <v>41850</v>
      </c>
      <c r="F23" s="3148">
        <v>83700</v>
      </c>
      <c r="G23" s="3148" t="s">
        <v>3017</v>
      </c>
      <c r="H23" s="3148" t="s">
        <v>3014</v>
      </c>
      <c r="I23" s="3148" t="s">
        <v>3022</v>
      </c>
      <c r="J23" s="3148">
        <v>21900</v>
      </c>
      <c r="K23" s="3148">
        <v>348.86</v>
      </c>
      <c r="L23" s="3148">
        <v>2616.48</v>
      </c>
      <c r="M23" s="3148">
        <v>47.97</v>
      </c>
      <c r="N23">
        <f t="shared" si="0"/>
        <v>5233</v>
      </c>
    </row>
    <row r="24" spans="1:14" s="3152" customFormat="1">
      <c r="A24" s="3151" t="s">
        <v>3098</v>
      </c>
      <c r="B24" s="3151" t="s">
        <v>2978</v>
      </c>
      <c r="C24" s="3151" t="s">
        <v>2979</v>
      </c>
      <c r="D24" s="3151" t="s">
        <v>2980</v>
      </c>
      <c r="E24" s="3151">
        <v>305.25</v>
      </c>
      <c r="F24" s="3151">
        <v>793.65</v>
      </c>
      <c r="G24" s="3151" t="s">
        <v>3023</v>
      </c>
      <c r="H24" s="3151" t="s">
        <v>3024</v>
      </c>
      <c r="I24" s="3151" t="s">
        <v>3025</v>
      </c>
      <c r="J24" s="3151">
        <v>32</v>
      </c>
      <c r="K24" s="3151">
        <v>69.89</v>
      </c>
      <c r="L24" s="3151">
        <v>403.19</v>
      </c>
      <c r="M24" s="3151">
        <v>6.67</v>
      </c>
      <c r="N24">
        <f t="shared" si="0"/>
        <v>1048</v>
      </c>
    </row>
    <row r="25" spans="1:14" s="3152" customFormat="1">
      <c r="A25" s="3151" t="s">
        <v>3026</v>
      </c>
      <c r="B25" s="3151" t="s">
        <v>2978</v>
      </c>
      <c r="C25" s="3151" t="s">
        <v>2979</v>
      </c>
      <c r="D25" s="3151" t="s">
        <v>2980</v>
      </c>
      <c r="E25" s="3151">
        <v>534.14</v>
      </c>
      <c r="F25" s="3151">
        <v>1388.76</v>
      </c>
      <c r="G25" s="3151" t="s">
        <v>3023</v>
      </c>
      <c r="H25" s="3151" t="s">
        <v>3024</v>
      </c>
      <c r="I25" s="3151" t="s">
        <v>3025</v>
      </c>
      <c r="J25" s="3151">
        <v>56</v>
      </c>
      <c r="K25" s="3151">
        <v>69.89</v>
      </c>
      <c r="L25" s="3151">
        <v>403.24</v>
      </c>
      <c r="M25" s="3151">
        <v>7.69</v>
      </c>
      <c r="N25">
        <f t="shared" si="0"/>
        <v>1048</v>
      </c>
    </row>
    <row r="26" spans="1:14">
      <c r="A26" s="3148" t="s">
        <v>3027</v>
      </c>
      <c r="B26" s="3148" t="s">
        <v>2978</v>
      </c>
      <c r="C26" s="3148" t="s">
        <v>2979</v>
      </c>
      <c r="D26" s="3148" t="s">
        <v>2980</v>
      </c>
      <c r="E26" s="3148">
        <v>7518</v>
      </c>
      <c r="F26" s="3148">
        <v>11277</v>
      </c>
      <c r="G26" s="3148" t="s">
        <v>3028</v>
      </c>
      <c r="H26" s="3148" t="s">
        <v>3029</v>
      </c>
      <c r="I26" s="3148" t="s">
        <v>3030</v>
      </c>
      <c r="J26" s="3148">
        <v>250</v>
      </c>
      <c r="K26" s="3148">
        <v>22.17</v>
      </c>
      <c r="L26" s="3148">
        <v>221.68</v>
      </c>
      <c r="M26" s="3148">
        <v>0.81</v>
      </c>
      <c r="N26">
        <f t="shared" si="0"/>
        <v>333</v>
      </c>
    </row>
    <row r="27" spans="1:14">
      <c r="A27" s="3148" t="s">
        <v>3031</v>
      </c>
      <c r="B27" s="3148" t="s">
        <v>2978</v>
      </c>
      <c r="C27" s="3148" t="s">
        <v>2979</v>
      </c>
      <c r="D27" s="3148" t="s">
        <v>2980</v>
      </c>
      <c r="E27" s="3148">
        <v>9457.17</v>
      </c>
      <c r="F27" s="3148">
        <v>15131.47</v>
      </c>
      <c r="G27" s="3148" t="s">
        <v>3032</v>
      </c>
      <c r="H27" s="3148" t="s">
        <v>3033</v>
      </c>
      <c r="I27" s="3148" t="s">
        <v>3034</v>
      </c>
      <c r="J27" s="3148">
        <v>2010</v>
      </c>
      <c r="K27" s="3148">
        <v>141.69</v>
      </c>
      <c r="L27" s="3148">
        <v>1328.35</v>
      </c>
      <c r="M27" s="3148">
        <v>116.13</v>
      </c>
      <c r="N27">
        <f t="shared" si="0"/>
        <v>2125</v>
      </c>
    </row>
    <row r="28" spans="1:14">
      <c r="A28" s="3148" t="s">
        <v>3035</v>
      </c>
      <c r="B28" s="3148" t="s">
        <v>2978</v>
      </c>
      <c r="C28" s="3148" t="s">
        <v>2979</v>
      </c>
      <c r="D28" s="3148" t="s">
        <v>2980</v>
      </c>
      <c r="E28" s="3148">
        <v>20832.93</v>
      </c>
      <c r="F28" s="3148">
        <v>22916.22</v>
      </c>
      <c r="G28" s="3148" t="s">
        <v>3036</v>
      </c>
      <c r="H28" s="3148" t="s">
        <v>3037</v>
      </c>
      <c r="I28" s="3148" t="s">
        <v>3034</v>
      </c>
      <c r="J28" s="3148">
        <v>1406</v>
      </c>
      <c r="K28" s="3148">
        <v>44.99</v>
      </c>
      <c r="L28" s="3148">
        <v>613.53</v>
      </c>
      <c r="M28" s="3148">
        <v>4.54</v>
      </c>
      <c r="N28">
        <f t="shared" si="0"/>
        <v>675</v>
      </c>
    </row>
    <row r="29" spans="1:14">
      <c r="A29" s="3148" t="s">
        <v>3038</v>
      </c>
      <c r="B29" s="3148" t="s">
        <v>2978</v>
      </c>
      <c r="C29" s="3148" t="s">
        <v>2979</v>
      </c>
      <c r="D29" s="3148" t="s">
        <v>2980</v>
      </c>
      <c r="E29" s="3148">
        <v>36566</v>
      </c>
      <c r="F29" s="3148">
        <v>73132</v>
      </c>
      <c r="G29" s="3148" t="s">
        <v>3017</v>
      </c>
      <c r="H29" s="3148" t="s">
        <v>3039</v>
      </c>
      <c r="I29" s="3148" t="s">
        <v>3040</v>
      </c>
      <c r="J29" s="3148">
        <v>4500</v>
      </c>
      <c r="K29" s="3148">
        <v>82.04</v>
      </c>
      <c r="L29" s="3148">
        <v>615.33000000000004</v>
      </c>
      <c r="M29" s="3148">
        <v>1.35</v>
      </c>
      <c r="N29">
        <f t="shared" si="0"/>
        <v>1231</v>
      </c>
    </row>
    <row r="30" spans="1:14">
      <c r="A30" s="3148" t="s">
        <v>3041</v>
      </c>
      <c r="B30" s="3148" t="s">
        <v>2978</v>
      </c>
      <c r="C30" s="3148" t="s">
        <v>2979</v>
      </c>
      <c r="D30" s="3148" t="s">
        <v>2980</v>
      </c>
      <c r="E30" s="3148">
        <v>26124</v>
      </c>
      <c r="F30" s="3148">
        <v>47023.199999999997</v>
      </c>
      <c r="G30" s="3148" t="s">
        <v>2988</v>
      </c>
      <c r="H30" s="3148" t="s">
        <v>3042</v>
      </c>
      <c r="I30" s="3148" t="s">
        <v>3015</v>
      </c>
      <c r="J30" s="3148">
        <v>12220</v>
      </c>
      <c r="K30" s="3148">
        <v>311.85000000000002</v>
      </c>
      <c r="L30" s="3148">
        <v>2598.71</v>
      </c>
      <c r="M30" s="3148">
        <v>107.12</v>
      </c>
      <c r="N30">
        <f t="shared" si="0"/>
        <v>4678</v>
      </c>
    </row>
    <row r="31" spans="1:14">
      <c r="A31" s="3148" t="s">
        <v>3043</v>
      </c>
      <c r="B31" s="3148" t="s">
        <v>2978</v>
      </c>
      <c r="C31" s="3148" t="s">
        <v>2979</v>
      </c>
      <c r="D31" s="3148" t="s">
        <v>2980</v>
      </c>
      <c r="E31" s="3148">
        <v>2201</v>
      </c>
      <c r="F31" s="3148">
        <v>4402</v>
      </c>
      <c r="G31" s="3148" t="s">
        <v>2981</v>
      </c>
      <c r="H31" s="3148" t="s">
        <v>3042</v>
      </c>
      <c r="I31" s="3148" t="s">
        <v>3015</v>
      </c>
      <c r="J31" s="3148">
        <v>550</v>
      </c>
      <c r="K31" s="3148">
        <v>166.59</v>
      </c>
      <c r="L31" s="3148">
        <v>1249.43</v>
      </c>
      <c r="M31" s="3148">
        <v>22.22</v>
      </c>
      <c r="N31">
        <f t="shared" si="0"/>
        <v>2499</v>
      </c>
    </row>
    <row r="32" spans="1:14">
      <c r="A32" s="3148" t="s">
        <v>3044</v>
      </c>
      <c r="B32" s="3148" t="s">
        <v>2978</v>
      </c>
      <c r="C32" s="3148" t="s">
        <v>2985</v>
      </c>
      <c r="D32" s="3148" t="s">
        <v>2980</v>
      </c>
      <c r="E32" s="3148">
        <v>29347</v>
      </c>
      <c r="F32" s="3148">
        <v>58694</v>
      </c>
      <c r="G32" s="3148" t="s">
        <v>2981</v>
      </c>
      <c r="H32" s="3148" t="s">
        <v>3042</v>
      </c>
      <c r="I32" s="3148" t="s">
        <v>3045</v>
      </c>
      <c r="J32" s="3148">
        <v>8060</v>
      </c>
      <c r="K32" s="3148">
        <v>183.1</v>
      </c>
      <c r="L32" s="3148">
        <v>1373.22</v>
      </c>
      <c r="M32" s="3148">
        <v>24</v>
      </c>
      <c r="N32">
        <f t="shared" si="0"/>
        <v>2746</v>
      </c>
    </row>
    <row r="33" spans="1:14">
      <c r="A33" s="3148" t="s">
        <v>3046</v>
      </c>
      <c r="B33" s="3148" t="s">
        <v>2978</v>
      </c>
      <c r="C33" s="3148" t="s">
        <v>2979</v>
      </c>
      <c r="D33" s="3148" t="s">
        <v>2980</v>
      </c>
      <c r="E33" s="3148">
        <v>2099.7800000000002</v>
      </c>
      <c r="F33" s="3148">
        <v>2309.7600000000002</v>
      </c>
      <c r="G33" s="3148" t="s">
        <v>3047</v>
      </c>
      <c r="H33" s="3148" t="s">
        <v>3048</v>
      </c>
      <c r="I33" s="3148" t="s">
        <v>3049</v>
      </c>
      <c r="J33" s="3148">
        <v>149</v>
      </c>
      <c r="K33" s="3148">
        <v>47.31</v>
      </c>
      <c r="L33" s="3148">
        <v>645.09</v>
      </c>
      <c r="M33" s="3148">
        <v>2.0499999999999998</v>
      </c>
      <c r="N33">
        <f t="shared" si="0"/>
        <v>710</v>
      </c>
    </row>
    <row r="34" spans="1:14">
      <c r="A34" s="3148" t="s">
        <v>3050</v>
      </c>
      <c r="B34" s="3148" t="s">
        <v>2978</v>
      </c>
      <c r="C34" s="3148" t="s">
        <v>2979</v>
      </c>
      <c r="D34" s="3148" t="s">
        <v>2980</v>
      </c>
      <c r="E34" s="3148">
        <v>69031</v>
      </c>
      <c r="F34" s="3148">
        <v>124255.8</v>
      </c>
      <c r="G34" s="3148" t="s">
        <v>3051</v>
      </c>
      <c r="H34" s="3148" t="s">
        <v>3052</v>
      </c>
      <c r="I34" s="3148" t="s">
        <v>3053</v>
      </c>
      <c r="J34" s="3148">
        <v>25100</v>
      </c>
      <c r="K34" s="3148">
        <v>242.4</v>
      </c>
      <c r="L34" s="3148">
        <v>2020.02</v>
      </c>
      <c r="M34" s="3148">
        <v>109.17</v>
      </c>
      <c r="N34">
        <f t="shared" si="0"/>
        <v>3636</v>
      </c>
    </row>
    <row r="35" spans="1:14">
      <c r="A35" s="3148" t="s">
        <v>3027</v>
      </c>
      <c r="B35" s="3148" t="s">
        <v>2978</v>
      </c>
      <c r="C35" s="3148" t="s">
        <v>2979</v>
      </c>
      <c r="D35" s="3148" t="s">
        <v>2980</v>
      </c>
      <c r="E35" s="3148">
        <v>7518</v>
      </c>
      <c r="F35" s="3148">
        <v>11277</v>
      </c>
      <c r="G35" s="3148" t="s">
        <v>3028</v>
      </c>
      <c r="H35" s="3148" t="s">
        <v>3029</v>
      </c>
      <c r="I35" s="3148" t="s">
        <v>3030</v>
      </c>
      <c r="J35" s="3148">
        <v>250</v>
      </c>
      <c r="K35" s="3148">
        <v>22.17</v>
      </c>
      <c r="L35" s="3148">
        <v>221.68</v>
      </c>
      <c r="M35" s="3148">
        <v>0.81</v>
      </c>
      <c r="N35">
        <f t="shared" si="0"/>
        <v>333</v>
      </c>
    </row>
    <row r="36" spans="1:14">
      <c r="A36" s="3148" t="s">
        <v>3054</v>
      </c>
      <c r="B36" s="3148" t="s">
        <v>2978</v>
      </c>
      <c r="C36" s="3148" t="s">
        <v>2979</v>
      </c>
      <c r="D36" s="3148" t="s">
        <v>2980</v>
      </c>
      <c r="E36" s="3148">
        <v>24068.99</v>
      </c>
      <c r="F36" s="3148">
        <v>31289.69</v>
      </c>
      <c r="G36" s="3148" t="s">
        <v>3055</v>
      </c>
      <c r="H36" s="3148" t="s">
        <v>3056</v>
      </c>
      <c r="I36" s="3148" t="s">
        <v>2983</v>
      </c>
      <c r="J36" s="3148">
        <v>2531</v>
      </c>
      <c r="K36" s="3148">
        <v>70.099999999999994</v>
      </c>
      <c r="L36" s="3148">
        <v>808.88</v>
      </c>
      <c r="M36" s="3148">
        <v>10</v>
      </c>
      <c r="N36">
        <f t="shared" si="0"/>
        <v>1052</v>
      </c>
    </row>
    <row r="37" spans="1:14">
      <c r="A37" s="3148" t="s">
        <v>3057</v>
      </c>
      <c r="B37" s="3148" t="s">
        <v>2978</v>
      </c>
      <c r="C37" s="3148" t="s">
        <v>2979</v>
      </c>
      <c r="D37" s="3148" t="s">
        <v>2980</v>
      </c>
      <c r="E37" s="3148">
        <v>14914.24</v>
      </c>
      <c r="F37" s="3148">
        <v>26845.63</v>
      </c>
      <c r="G37" s="3148" t="s">
        <v>3013</v>
      </c>
      <c r="H37" s="3148" t="s">
        <v>3058</v>
      </c>
      <c r="I37" s="3148" t="s">
        <v>3059</v>
      </c>
      <c r="J37" s="3148">
        <v>395</v>
      </c>
      <c r="K37" s="3148">
        <v>17.66</v>
      </c>
      <c r="L37" s="3148">
        <v>147.13</v>
      </c>
      <c r="M37" s="3148">
        <v>1.28</v>
      </c>
      <c r="N37">
        <f t="shared" si="0"/>
        <v>265</v>
      </c>
    </row>
    <row r="38" spans="1:14">
      <c r="A38" s="3148" t="s">
        <v>3060</v>
      </c>
      <c r="B38" s="3148" t="s">
        <v>2978</v>
      </c>
      <c r="C38" s="3148" t="s">
        <v>2979</v>
      </c>
      <c r="D38" s="3148" t="s">
        <v>2980</v>
      </c>
      <c r="E38" s="3148">
        <v>39767</v>
      </c>
      <c r="F38" s="3148">
        <v>115324.3</v>
      </c>
      <c r="G38" s="3148" t="s">
        <v>3061</v>
      </c>
      <c r="H38" s="3148" t="s">
        <v>3062</v>
      </c>
      <c r="I38" s="3148" t="s">
        <v>3063</v>
      </c>
      <c r="J38" s="3148">
        <v>13500</v>
      </c>
      <c r="K38" s="3148">
        <v>226.32</v>
      </c>
      <c r="L38" s="3148">
        <v>1170.5999999999999</v>
      </c>
      <c r="M38" s="3148">
        <v>0</v>
      </c>
      <c r="N38">
        <f t="shared" si="0"/>
        <v>3395</v>
      </c>
    </row>
    <row r="39" spans="1:14">
      <c r="A39" s="3148" t="s">
        <v>3060</v>
      </c>
      <c r="B39" s="3148" t="s">
        <v>2978</v>
      </c>
      <c r="C39" s="3148" t="s">
        <v>2979</v>
      </c>
      <c r="D39" s="3148" t="s">
        <v>2980</v>
      </c>
      <c r="E39" s="3148">
        <v>39767</v>
      </c>
      <c r="F39" s="3148">
        <v>115324.3</v>
      </c>
      <c r="G39" s="3148" t="s">
        <v>3061</v>
      </c>
      <c r="H39" s="3148" t="s">
        <v>3062</v>
      </c>
      <c r="I39" s="3148" t="s">
        <v>3063</v>
      </c>
      <c r="J39" s="3148">
        <v>13500</v>
      </c>
      <c r="K39" s="3148">
        <v>226.32</v>
      </c>
      <c r="L39" s="3148">
        <v>1170.5999999999999</v>
      </c>
      <c r="M39" s="3148">
        <v>0</v>
      </c>
      <c r="N39">
        <f t="shared" si="0"/>
        <v>3395</v>
      </c>
    </row>
    <row r="40" spans="1:14" s="3152" customFormat="1">
      <c r="A40" s="3151" t="s">
        <v>3064</v>
      </c>
      <c r="B40" s="3151" t="s">
        <v>2978</v>
      </c>
      <c r="C40" s="3151" t="s">
        <v>2979</v>
      </c>
      <c r="D40" s="3151" t="s">
        <v>2980</v>
      </c>
      <c r="E40" s="3151">
        <v>4224.92</v>
      </c>
      <c r="F40" s="3151">
        <v>8449.84</v>
      </c>
      <c r="G40" s="3151" t="s">
        <v>3065</v>
      </c>
      <c r="H40" s="3151" t="s">
        <v>3066</v>
      </c>
      <c r="I40" s="3151" t="s">
        <v>3025</v>
      </c>
      <c r="J40" s="3151">
        <v>634</v>
      </c>
      <c r="K40" s="3151">
        <v>100.04</v>
      </c>
      <c r="L40" s="3151">
        <v>750.3</v>
      </c>
      <c r="M40" s="3151">
        <v>1.6</v>
      </c>
      <c r="N40">
        <f t="shared" si="0"/>
        <v>1501</v>
      </c>
    </row>
    <row r="41" spans="1:14">
      <c r="A41" s="3148" t="s">
        <v>3067</v>
      </c>
      <c r="B41" s="3148" t="s">
        <v>2978</v>
      </c>
      <c r="C41" s="3148" t="s">
        <v>2979</v>
      </c>
      <c r="D41" s="3148" t="s">
        <v>2980</v>
      </c>
      <c r="E41" s="3148">
        <v>5142</v>
      </c>
      <c r="F41" s="3148">
        <v>20568</v>
      </c>
      <c r="G41" s="3148" t="s">
        <v>3068</v>
      </c>
      <c r="H41" s="3148" t="s">
        <v>3069</v>
      </c>
      <c r="I41" s="3148" t="s">
        <v>3070</v>
      </c>
      <c r="J41" s="3148">
        <v>1467</v>
      </c>
      <c r="K41" s="3148">
        <v>190.2</v>
      </c>
      <c r="L41" s="3148">
        <v>713.24</v>
      </c>
      <c r="M41" s="3148">
        <v>0</v>
      </c>
      <c r="N41">
        <f t="shared" si="0"/>
        <v>2853</v>
      </c>
    </row>
    <row r="42" spans="1:14">
      <c r="A42" s="3148" t="s">
        <v>3071</v>
      </c>
      <c r="B42" s="3148" t="s">
        <v>2978</v>
      </c>
      <c r="C42" s="3148" t="s">
        <v>2979</v>
      </c>
      <c r="D42" s="3148" t="s">
        <v>2980</v>
      </c>
      <c r="E42" s="3148">
        <v>37794</v>
      </c>
      <c r="F42" s="3148">
        <v>75588</v>
      </c>
      <c r="G42" s="3148" t="s">
        <v>3017</v>
      </c>
      <c r="H42" s="3148" t="s">
        <v>3069</v>
      </c>
      <c r="I42" s="3148" t="s">
        <v>3072</v>
      </c>
      <c r="J42" s="3148">
        <v>1020</v>
      </c>
      <c r="K42" s="3148">
        <v>17.989999999999998</v>
      </c>
      <c r="L42" s="3148">
        <v>134.93</v>
      </c>
      <c r="M42" s="3148">
        <v>0</v>
      </c>
      <c r="N42">
        <f t="shared" si="0"/>
        <v>270</v>
      </c>
    </row>
    <row r="43" spans="1:14">
      <c r="A43" s="3148" t="s">
        <v>3067</v>
      </c>
      <c r="B43" s="3148" t="s">
        <v>2978</v>
      </c>
      <c r="C43" s="3148" t="s">
        <v>2985</v>
      </c>
      <c r="D43" s="3148" t="s">
        <v>2980</v>
      </c>
      <c r="E43" s="3148">
        <v>5142</v>
      </c>
      <c r="F43" s="3148">
        <v>20568</v>
      </c>
      <c r="G43" s="3148" t="s">
        <v>3068</v>
      </c>
      <c r="H43" s="3148" t="s">
        <v>3069</v>
      </c>
      <c r="I43" s="3148" t="s">
        <v>3070</v>
      </c>
      <c r="J43" s="3148">
        <v>1467</v>
      </c>
      <c r="K43" s="3148">
        <v>190.2</v>
      </c>
      <c r="L43" s="3148">
        <v>713.24</v>
      </c>
      <c r="M43" s="3148">
        <v>0</v>
      </c>
      <c r="N43">
        <f t="shared" si="0"/>
        <v>2853</v>
      </c>
    </row>
    <row r="44" spans="1:14">
      <c r="A44" s="3148" t="s">
        <v>3073</v>
      </c>
      <c r="B44" s="3148" t="s">
        <v>2978</v>
      </c>
      <c r="C44" s="3148" t="s">
        <v>2979</v>
      </c>
      <c r="D44" s="3148" t="s">
        <v>2980</v>
      </c>
      <c r="E44" s="3148">
        <v>127368.5</v>
      </c>
      <c r="F44" s="3148">
        <v>229263.2</v>
      </c>
      <c r="G44" s="3148" t="s">
        <v>3074</v>
      </c>
      <c r="H44" s="3148" t="s">
        <v>3075</v>
      </c>
      <c r="I44" s="3148" t="s">
        <v>3076</v>
      </c>
      <c r="J44" s="3148">
        <v>7648</v>
      </c>
      <c r="K44" s="3148">
        <v>40.03</v>
      </c>
      <c r="L44" s="3148">
        <v>333.58</v>
      </c>
      <c r="M44" s="3148">
        <v>0.13</v>
      </c>
      <c r="N44">
        <f t="shared" si="0"/>
        <v>600</v>
      </c>
    </row>
    <row r="45" spans="1:14">
      <c r="A45" s="3148" t="s">
        <v>3077</v>
      </c>
      <c r="B45" s="3148" t="s">
        <v>2978</v>
      </c>
      <c r="C45" s="3148" t="s">
        <v>2979</v>
      </c>
      <c r="D45" s="3148" t="s">
        <v>2980</v>
      </c>
      <c r="E45" s="3148">
        <v>22033.5</v>
      </c>
      <c r="F45" s="3148">
        <v>39660.300000000003</v>
      </c>
      <c r="G45" s="3148" t="s">
        <v>3074</v>
      </c>
      <c r="H45" s="3148" t="s">
        <v>3075</v>
      </c>
      <c r="I45" s="3148" t="s">
        <v>3076</v>
      </c>
      <c r="J45" s="3148">
        <v>1322</v>
      </c>
      <c r="K45" s="3148">
        <v>40</v>
      </c>
      <c r="L45" s="3148">
        <v>333.32</v>
      </c>
      <c r="M45" s="3148">
        <v>0.76</v>
      </c>
      <c r="N45">
        <f t="shared" si="0"/>
        <v>600</v>
      </c>
    </row>
    <row r="46" spans="1:14">
      <c r="A46" s="3148" t="s">
        <v>3078</v>
      </c>
      <c r="B46" s="3148" t="s">
        <v>2978</v>
      </c>
      <c r="C46" s="3148" t="s">
        <v>2979</v>
      </c>
      <c r="D46" s="3148" t="s">
        <v>2980</v>
      </c>
      <c r="E46" s="3148">
        <v>53402.51</v>
      </c>
      <c r="F46" s="3148">
        <v>64083.01</v>
      </c>
      <c r="G46" s="3148" t="s">
        <v>3079</v>
      </c>
      <c r="H46" s="3148" t="s">
        <v>3075</v>
      </c>
      <c r="I46" s="3148" t="s">
        <v>3076</v>
      </c>
      <c r="J46" s="3148">
        <v>3205</v>
      </c>
      <c r="K46" s="3148">
        <v>40.01</v>
      </c>
      <c r="L46" s="3148">
        <v>500.12</v>
      </c>
      <c r="M46" s="3148">
        <v>0.25</v>
      </c>
      <c r="N46">
        <f t="shared" si="0"/>
        <v>600</v>
      </c>
    </row>
    <row r="47" spans="1:14">
      <c r="A47" s="3148" t="s">
        <v>3080</v>
      </c>
      <c r="B47" s="3148" t="s">
        <v>2978</v>
      </c>
      <c r="C47" s="3148" t="s">
        <v>2979</v>
      </c>
      <c r="D47" s="3148" t="s">
        <v>2980</v>
      </c>
      <c r="E47" s="3148">
        <v>49580</v>
      </c>
      <c r="F47" s="3148">
        <v>89244</v>
      </c>
      <c r="G47" s="3148" t="s">
        <v>3013</v>
      </c>
      <c r="H47" s="3148" t="s">
        <v>3081</v>
      </c>
      <c r="I47" s="3148" t="s">
        <v>3015</v>
      </c>
      <c r="J47" s="3148">
        <v>7500</v>
      </c>
      <c r="K47" s="3148">
        <v>100.85</v>
      </c>
      <c r="L47" s="3148">
        <v>840.38</v>
      </c>
      <c r="M47" s="3148">
        <v>0</v>
      </c>
      <c r="N47">
        <f t="shared" si="0"/>
        <v>1513</v>
      </c>
    </row>
    <row r="48" spans="1:14">
      <c r="A48" s="3148" t="s">
        <v>3082</v>
      </c>
      <c r="B48" s="3148" t="s">
        <v>2978</v>
      </c>
      <c r="C48" s="3148" t="s">
        <v>2979</v>
      </c>
      <c r="D48" s="3148" t="s">
        <v>2980</v>
      </c>
      <c r="E48" s="3148">
        <v>22830</v>
      </c>
      <c r="F48" s="3148">
        <v>31962</v>
      </c>
      <c r="G48" s="3148" t="s">
        <v>3083</v>
      </c>
      <c r="H48" s="3148" t="s">
        <v>3081</v>
      </c>
      <c r="I48" s="3148" t="s">
        <v>3015</v>
      </c>
      <c r="J48" s="3148">
        <v>740</v>
      </c>
      <c r="K48" s="3148">
        <v>21.61</v>
      </c>
      <c r="L48" s="3148">
        <v>231.52</v>
      </c>
      <c r="M48" s="3148">
        <v>0</v>
      </c>
      <c r="N48">
        <f t="shared" si="0"/>
        <v>324</v>
      </c>
    </row>
    <row r="49" spans="1:14" s="3152" customFormat="1">
      <c r="A49" s="3151" t="s">
        <v>3084</v>
      </c>
      <c r="B49" s="3151" t="s">
        <v>2978</v>
      </c>
      <c r="C49" s="3151" t="s">
        <v>2979</v>
      </c>
      <c r="D49" s="3151" t="s">
        <v>2980</v>
      </c>
      <c r="E49" s="3151">
        <v>29988.12</v>
      </c>
      <c r="F49" s="3151">
        <v>65973.86</v>
      </c>
      <c r="G49" s="3151" t="s">
        <v>3085</v>
      </c>
      <c r="H49" s="3151" t="s">
        <v>3086</v>
      </c>
      <c r="I49" s="3151" t="s">
        <v>3025</v>
      </c>
      <c r="J49" s="3151">
        <v>4048</v>
      </c>
      <c r="K49" s="3151">
        <v>89.99</v>
      </c>
      <c r="L49" s="3151">
        <v>613.58000000000004</v>
      </c>
      <c r="M49" s="3151">
        <v>0.25</v>
      </c>
      <c r="N49">
        <f t="shared" si="0"/>
        <v>1350</v>
      </c>
    </row>
    <row r="50" spans="1:14">
      <c r="A50" s="3148" t="s">
        <v>3087</v>
      </c>
      <c r="B50" s="3148" t="s">
        <v>2978</v>
      </c>
      <c r="C50" s="3148" t="s">
        <v>2979</v>
      </c>
      <c r="D50" s="3148" t="s">
        <v>2980</v>
      </c>
      <c r="E50" s="3148">
        <v>58441.17</v>
      </c>
      <c r="F50" s="3148">
        <v>87661.759999999995</v>
      </c>
      <c r="G50" s="3148" t="s">
        <v>3088</v>
      </c>
      <c r="H50" s="3148" t="s">
        <v>3089</v>
      </c>
      <c r="I50" s="3148" t="s">
        <v>3090</v>
      </c>
      <c r="J50" s="3148">
        <v>1750</v>
      </c>
      <c r="K50" s="3148">
        <v>19.96</v>
      </c>
      <c r="L50" s="3148">
        <v>199.62</v>
      </c>
      <c r="M50" s="3148">
        <v>0.28999999999999998</v>
      </c>
      <c r="N50">
        <f t="shared" si="0"/>
        <v>299</v>
      </c>
    </row>
    <row r="51" spans="1:14">
      <c r="A51" s="3148" t="s">
        <v>3091</v>
      </c>
      <c r="B51" s="3148" t="s">
        <v>2978</v>
      </c>
      <c r="C51" s="3148" t="s">
        <v>2979</v>
      </c>
      <c r="D51" s="3148" t="s">
        <v>2980</v>
      </c>
      <c r="E51" s="3148">
        <v>66176</v>
      </c>
      <c r="F51" s="3148">
        <v>99264</v>
      </c>
      <c r="G51" s="3148" t="s">
        <v>3028</v>
      </c>
      <c r="H51" s="3148" t="s">
        <v>3092</v>
      </c>
      <c r="I51" s="3148" t="s">
        <v>3093</v>
      </c>
      <c r="J51" s="3148">
        <v>2260</v>
      </c>
      <c r="K51" s="3148">
        <v>22.77</v>
      </c>
      <c r="L51" s="3148">
        <v>227.68</v>
      </c>
      <c r="M51" s="3148">
        <v>0</v>
      </c>
      <c r="N51">
        <f t="shared" si="0"/>
        <v>342</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9" t="s">
        <v>2049</v>
      </c>
      <c r="B1" s="3159"/>
      <c r="C1" s="3159"/>
      <c r="D1" s="3159"/>
      <c r="E1" s="3159"/>
      <c r="F1" s="3159"/>
      <c r="G1" s="3159"/>
      <c r="H1" s="3159"/>
      <c r="I1" s="3159"/>
      <c r="J1" s="3159"/>
      <c r="K1" s="3159"/>
      <c r="L1" s="3159"/>
      <c r="M1" s="3159"/>
      <c r="N1" s="3159"/>
      <c r="O1" s="3159"/>
      <c r="P1" s="3159"/>
      <c r="Q1" s="3159"/>
      <c r="R1" s="3159"/>
    </row>
    <row r="2" spans="1:18">
      <c r="A2" s="1814" t="s">
        <v>2051</v>
      </c>
      <c r="B2" s="1814"/>
      <c r="C2" s="1814"/>
      <c r="D2" s="1814"/>
      <c r="E2" s="1814"/>
      <c r="F2" s="1814"/>
      <c r="G2" s="1814"/>
      <c r="H2" s="1814"/>
      <c r="I2" s="1815"/>
      <c r="J2" s="1815"/>
      <c r="K2" s="1816" t="str">
        <f>"估价期日："&amp;TEXT(项目基本情况!D3,"yyyy年m月d日;;")</f>
        <v>估价期日：2017年7月7日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0" t="s">
        <v>2040</v>
      </c>
      <c r="B3" s="3160" t="s">
        <v>2749</v>
      </c>
      <c r="C3" s="3161" t="s">
        <v>2041</v>
      </c>
      <c r="D3" s="3160" t="s">
        <v>2753</v>
      </c>
      <c r="E3" s="3155" t="s">
        <v>2042</v>
      </c>
      <c r="F3" s="3155"/>
      <c r="G3" s="3155"/>
      <c r="H3" s="3155" t="s">
        <v>2043</v>
      </c>
      <c r="I3" s="3155"/>
      <c r="J3" s="3155"/>
      <c r="K3" s="3161" t="s">
        <v>2044</v>
      </c>
      <c r="L3" s="3161" t="s">
        <v>2045</v>
      </c>
      <c r="M3" s="3160" t="s">
        <v>2750</v>
      </c>
      <c r="N3" s="3162" t="str">
        <f>"（分摊）"&amp;项目基本情况!B16&amp;"国有建设用地使用权面积/㎡"</f>
        <v>（分摊）出让国有建设用地使用权面积/㎡</v>
      </c>
      <c r="O3" s="3160" t="s">
        <v>2074</v>
      </c>
      <c r="P3" s="3161" t="s">
        <v>2054</v>
      </c>
      <c r="Q3" s="3161" t="s">
        <v>2075</v>
      </c>
      <c r="R3" s="3161" t="s">
        <v>2046</v>
      </c>
    </row>
    <row r="4" spans="1:18" ht="36.75" customHeight="1">
      <c r="A4" s="3160"/>
      <c r="B4" s="3160"/>
      <c r="C4" s="3161"/>
      <c r="D4" s="3160"/>
      <c r="E4" s="2686" t="s">
        <v>2053</v>
      </c>
      <c r="F4" s="2686" t="s">
        <v>2762</v>
      </c>
      <c r="G4" s="2686" t="s">
        <v>2047</v>
      </c>
      <c r="H4" s="2686" t="s">
        <v>2048</v>
      </c>
      <c r="I4" s="2686" t="s">
        <v>2763</v>
      </c>
      <c r="J4" s="2686" t="s">
        <v>2047</v>
      </c>
      <c r="K4" s="3161"/>
      <c r="L4" s="3161"/>
      <c r="M4" s="3160"/>
      <c r="N4" s="3162"/>
      <c r="O4" s="3160"/>
      <c r="P4" s="3161"/>
      <c r="Q4" s="3161"/>
      <c r="R4" s="3161"/>
    </row>
    <row r="5" spans="1:18" ht="135" customHeight="1">
      <c r="A5" s="1950" t="s">
        <v>2673</v>
      </c>
      <c r="B5" s="2907" t="s">
        <v>2671</v>
      </c>
      <c r="C5" s="2685">
        <v>22</v>
      </c>
      <c r="D5" s="2684" t="s">
        <v>2672</v>
      </c>
      <c r="E5" s="1817">
        <f>项目基本情况!B12</f>
        <v>0</v>
      </c>
      <c r="F5" s="2684">
        <v>258</v>
      </c>
      <c r="G5" s="1817">
        <f>项目基本情况!B13</f>
        <v>0</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f>IF(项目基本情况!B16="出让",项目基本情况!D20,"——")</f>
        <v>0</v>
      </c>
      <c r="N5" s="1817">
        <f>项目基本情况!C22</f>
        <v>102554.85</v>
      </c>
      <c r="O5" s="1817">
        <f>项目基本情况!C21</f>
        <v>205109.7</v>
      </c>
      <c r="P5" s="1817">
        <f ca="1">结果表!E42</f>
        <v>1132</v>
      </c>
      <c r="Q5" s="1817">
        <f ca="1">结果表!D42</f>
        <v>566</v>
      </c>
      <c r="R5" s="1818">
        <f ca="1">结果表!C42</f>
        <v>11614</v>
      </c>
    </row>
    <row r="6" spans="1:18">
      <c r="A6" s="3156" t="s">
        <v>2006</v>
      </c>
      <c r="B6" s="3157"/>
      <c r="C6" s="3157"/>
      <c r="D6" s="3157"/>
      <c r="E6" s="3157"/>
      <c r="F6" s="3157"/>
      <c r="G6" s="3157"/>
      <c r="H6" s="3157"/>
      <c r="I6" s="3157"/>
      <c r="J6" s="3157"/>
      <c r="K6" s="3157"/>
      <c r="L6" s="3157"/>
      <c r="M6" s="3157"/>
      <c r="N6" s="3157"/>
      <c r="O6" s="3157"/>
      <c r="P6" s="3157"/>
      <c r="Q6" s="3158"/>
      <c r="R6" s="1819" t="str">
        <f>结果表!O39</f>
        <v>——</v>
      </c>
    </row>
    <row r="7" spans="1:18">
      <c r="A7" s="3156" t="str">
        <f>IF(项目基本情况!E8="已注销及未注销","抵押担保权已注销时的抵押价格","——")</f>
        <v>——</v>
      </c>
      <c r="B7" s="3157"/>
      <c r="C7" s="3157"/>
      <c r="D7" s="3157"/>
      <c r="E7" s="3157"/>
      <c r="F7" s="3157"/>
      <c r="G7" s="3157"/>
      <c r="H7" s="3157"/>
      <c r="I7" s="3157"/>
      <c r="J7" s="3157"/>
      <c r="K7" s="3157"/>
      <c r="L7" s="3157"/>
      <c r="M7" s="3157"/>
      <c r="N7" s="3157"/>
      <c r="O7" s="3157"/>
      <c r="P7" s="3157"/>
      <c r="Q7" s="3158"/>
      <c r="R7" s="1819" t="str">
        <f>结果表!O40</f>
        <v>——</v>
      </c>
    </row>
    <row r="8" spans="1:18">
      <c r="A8" s="3156">
        <f>项目基本情况!E9</f>
        <v>0</v>
      </c>
      <c r="B8" s="3157"/>
      <c r="C8" s="3157"/>
      <c r="D8" s="3157"/>
      <c r="E8" s="3157"/>
      <c r="F8" s="3157"/>
      <c r="G8" s="3157"/>
      <c r="H8" s="3157"/>
      <c r="I8" s="3157"/>
      <c r="J8" s="3157"/>
      <c r="K8" s="3157"/>
      <c r="L8" s="3157"/>
      <c r="M8" s="3157"/>
      <c r="N8" s="3157"/>
      <c r="O8" s="3157"/>
      <c r="P8" s="3157"/>
      <c r="Q8" s="3158"/>
      <c r="R8" s="1819" t="str">
        <f>结果表!O41</f>
        <v>——</v>
      </c>
    </row>
    <row r="9" spans="1:18">
      <c r="A9" s="1820" t="s">
        <v>2052</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2039</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3" t="s">
        <v>2076</v>
      </c>
      <c r="B1" s="3163"/>
      <c r="C1" s="3163"/>
      <c r="D1" s="3163"/>
    </row>
    <row r="2" spans="1:4" ht="47.25" customHeight="1">
      <c r="A2" s="3167" t="str">
        <f>"1.权利限制："&amp;项目基本情况!L24&amp;"未设定租赁等其他他项权利。"</f>
        <v>1.权利限制：根据估价对象《不动产权证书》原件、《国有土地使用权》复印件，截至估价期日，估价对象抵押权未见登记。未设定租赁等其他他项权利。</v>
      </c>
      <c r="B2" s="3167"/>
      <c r="C2" s="3167"/>
      <c r="D2" s="3167"/>
    </row>
    <row r="3" spans="1:4" ht="48" customHeight="1">
      <c r="A3" s="31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63"/>
      <c r="C3" s="3163"/>
      <c r="D3" s="3163"/>
    </row>
    <row r="4" spans="1:4" ht="36.75" customHeight="1">
      <c r="A4" s="3163" t="str">
        <f>"3.估价规划限制条件：详见"&amp;项目基本情况!E21&amp;"。"</f>
        <v>3.估价规划限制条件：详见《建设工程规划许可证》[]、《出让合同》[]。</v>
      </c>
      <c r="B4" s="3163"/>
      <c r="C4" s="3163"/>
      <c r="D4" s="3163"/>
    </row>
    <row r="5" spans="1:4">
      <c r="A5" s="3166" t="s">
        <v>2077</v>
      </c>
      <c r="B5" s="3166"/>
      <c r="C5" s="3166"/>
      <c r="D5" s="3166"/>
    </row>
    <row r="6" spans="1:4">
      <c r="A6" s="3163" t="s">
        <v>2055</v>
      </c>
      <c r="B6" s="3163"/>
      <c r="C6" s="3163"/>
      <c r="D6" s="3163"/>
    </row>
    <row r="7" spans="1:4" ht="33" customHeight="1">
      <c r="A7" s="3163" t="s">
        <v>2590</v>
      </c>
      <c r="B7" s="3163"/>
      <c r="C7" s="3163"/>
      <c r="D7" s="3163"/>
    </row>
    <row r="8" spans="1:4" ht="32.25" customHeight="1">
      <c r="A8" s="3163" t="str">
        <f>IF(项目基本情况!B8="抵押","2.本《评估意见函》仅供金融机构进行内部审核使用，不做其他目的之用。","")</f>
        <v/>
      </c>
      <c r="B8" s="3163"/>
      <c r="C8" s="3163"/>
      <c r="D8" s="3163"/>
    </row>
    <row r="9" spans="1:4" ht="33.75" customHeight="1">
      <c r="A9" s="3163" t="str">
        <f>IF(项目基本情况!B8="抵押","3.抵押双方在办理抵押登记手续时，应使用本公司出具的正式《土地估价报告》，特提请报告使用者注意。","")</f>
        <v/>
      </c>
      <c r="B9" s="3163"/>
      <c r="C9" s="3163"/>
      <c r="D9" s="3163"/>
    </row>
    <row r="10" spans="1:4">
      <c r="A10" s="3163" t="str">
        <f>IF(项目基本情况!B8="抵押","4.估价师所知悉的法定优先受偿款情况为：","")</f>
        <v/>
      </c>
      <c r="B10" s="3163"/>
      <c r="C10" s="3163"/>
      <c r="D10" s="3163"/>
    </row>
    <row r="11" spans="1:4" ht="37.5" customHeight="1">
      <c r="A11" s="3165" t="str">
        <f>IF(项目基本情况!B8="抵押","（1）"&amp;CONCATENATE(项目基本情况!L24,项目基本情况!L25,项目基本情况!L26),"")</f>
        <v/>
      </c>
      <c r="B11" s="3165"/>
      <c r="C11" s="3165"/>
      <c r="D11" s="3165"/>
    </row>
    <row r="12" spans="1:4" ht="168" customHeight="1">
      <c r="A12" s="3166" t="s">
        <v>2079</v>
      </c>
      <c r="B12" s="3166"/>
      <c r="C12" s="3166"/>
      <c r="D12" s="3166"/>
    </row>
    <row r="13" spans="1:4">
      <c r="A13" s="3164" t="s">
        <v>2764</v>
      </c>
      <c r="B13" s="3164"/>
      <c r="C13" s="3164"/>
      <c r="D13" s="3164"/>
    </row>
    <row r="14" spans="1:4">
      <c r="A14" s="3165" t="str">
        <f>IF(项目基本情况!B8="抵押","综上，"&amp;结果表!K47,"")</f>
        <v/>
      </c>
      <c r="B14" s="3165"/>
      <c r="C14" s="3165"/>
      <c r="D14" s="3165"/>
    </row>
    <row r="15" spans="1:4" ht="58.5" customHeight="1">
      <c r="A15" s="3163"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3"/>
      <c r="C15" s="3163"/>
      <c r="D15" s="3163"/>
    </row>
    <row r="16" spans="1:4" ht="70.5" customHeight="1">
      <c r="A16" s="3163"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3"/>
      <c r="C16" s="3163"/>
      <c r="D16" s="3163"/>
    </row>
    <row r="17" spans="1:4">
      <c r="A17" s="3163" t="s">
        <v>2720</v>
      </c>
      <c r="B17" s="3163"/>
      <c r="C17" s="3163"/>
      <c r="D17" s="3163"/>
    </row>
    <row r="18" spans="1:4">
      <c r="A18" s="3163" t="s">
        <v>2712</v>
      </c>
      <c r="B18" s="3163"/>
      <c r="C18" s="3163"/>
      <c r="D18" s="3163"/>
    </row>
    <row r="19" spans="1:4">
      <c r="A19" s="2908" t="s">
        <v>2713</v>
      </c>
      <c r="B19" s="2908" t="s">
        <v>2714</v>
      </c>
      <c r="C19" s="2908" t="s">
        <v>2715</v>
      </c>
      <c r="D19" s="2908" t="s">
        <v>2716</v>
      </c>
    </row>
    <row r="20" spans="1:4">
      <c r="A20" s="2908" t="str">
        <f>项目基本情况!B4</f>
        <v>土地估价师</v>
      </c>
      <c r="B20" s="2908">
        <f>项目基本情况!C4</f>
        <v>0</v>
      </c>
      <c r="C20" s="2910"/>
      <c r="D20" s="1807" t="s">
        <v>2721</v>
      </c>
    </row>
    <row r="21" spans="1:4">
      <c r="A21" s="2908" t="str">
        <f>项目基本情况!D4</f>
        <v>土地估价师</v>
      </c>
      <c r="B21" s="2908">
        <f>项目基本情况!E4</f>
        <v>0</v>
      </c>
      <c r="C21" s="2910"/>
      <c r="D21" s="1807" t="s">
        <v>2722</v>
      </c>
    </row>
    <row r="23" spans="1:4">
      <c r="A23" s="3163" t="s">
        <v>2717</v>
      </c>
      <c r="B23" s="3163"/>
      <c r="C23" s="3163"/>
      <c r="D23" s="3163"/>
    </row>
    <row r="24" spans="1:4">
      <c r="A24" s="2908" t="s">
        <v>2713</v>
      </c>
      <c r="B24" s="2908" t="s">
        <v>2718</v>
      </c>
      <c r="C24" s="2908" t="s">
        <v>2715</v>
      </c>
      <c r="D24" s="2908" t="s">
        <v>2716</v>
      </c>
    </row>
    <row r="25" spans="1:4">
      <c r="A25" s="2911" t="s">
        <v>2719</v>
      </c>
      <c r="B25" s="2908" t="s">
        <v>955</v>
      </c>
      <c r="C25" s="2910"/>
      <c r="D25" s="1807" t="s">
        <v>2722</v>
      </c>
    </row>
    <row r="29" spans="1:4">
      <c r="D29" s="2909" t="s">
        <v>2050</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5" t="s">
        <v>53</v>
      </c>
      <c r="B15" s="3176" t="s">
        <v>849</v>
      </c>
      <c r="C15" s="3172"/>
    </row>
    <row r="16" spans="1:7" ht="14.25">
      <c r="A16" s="3175"/>
      <c r="B16" s="3173" t="s">
        <v>54</v>
      </c>
      <c r="C16" s="1175" t="s">
        <v>53</v>
      </c>
    </row>
    <row r="17" spans="1:3" ht="14.25">
      <c r="A17" s="3175"/>
      <c r="B17" s="3173"/>
      <c r="C17" s="1175" t="s">
        <v>55</v>
      </c>
    </row>
    <row r="18" spans="1:3" ht="14.25">
      <c r="A18" s="3175"/>
      <c r="B18" s="3173"/>
      <c r="C18" s="1175" t="s">
        <v>56</v>
      </c>
    </row>
    <row r="19" spans="1:3" ht="14.25">
      <c r="A19" s="3175"/>
      <c r="B19" s="3171" t="s">
        <v>57</v>
      </c>
      <c r="C19" s="3172"/>
    </row>
    <row r="20" spans="1:3" ht="14.25">
      <c r="A20" s="1176" t="s">
        <v>58</v>
      </c>
      <c r="B20" s="1177"/>
      <c r="C20" s="1178"/>
    </row>
    <row r="21" spans="1:3" ht="14.25">
      <c r="A21" s="3174" t="s">
        <v>59</v>
      </c>
      <c r="B21" s="3171" t="s">
        <v>60</v>
      </c>
      <c r="C21" s="3172"/>
    </row>
    <row r="22" spans="1:3" ht="14.25">
      <c r="A22" s="3174"/>
      <c r="B22" s="3171" t="s">
        <v>61</v>
      </c>
      <c r="C22" s="3172"/>
    </row>
    <row r="23" spans="1:3" ht="14.25">
      <c r="A23" s="3174"/>
      <c r="B23" s="3171" t="s">
        <v>62</v>
      </c>
      <c r="C23" s="3172"/>
    </row>
    <row r="24" spans="1:3" ht="14.25">
      <c r="A24" s="3174"/>
      <c r="B24" s="3177" t="s">
        <v>63</v>
      </c>
      <c r="C24" s="1179" t="s">
        <v>840</v>
      </c>
    </row>
    <row r="25" spans="1:3" ht="14.25">
      <c r="A25" s="3174"/>
      <c r="B25" s="3178"/>
      <c r="C25" s="1179" t="s">
        <v>841</v>
      </c>
    </row>
    <row r="26" spans="1:3" ht="14.25">
      <c r="A26" s="3174"/>
      <c r="B26" s="3178"/>
      <c r="C26" s="1179" t="s">
        <v>842</v>
      </c>
    </row>
    <row r="27" spans="1:3" ht="14.25">
      <c r="A27" s="3174"/>
      <c r="B27" s="3178"/>
      <c r="C27" s="1179" t="s">
        <v>843</v>
      </c>
    </row>
    <row r="28" spans="1:3" ht="14.25">
      <c r="A28" s="3174"/>
      <c r="B28" s="3178"/>
      <c r="C28" s="1179" t="s">
        <v>844</v>
      </c>
    </row>
    <row r="29" spans="1:3" ht="14.25">
      <c r="A29" s="3174"/>
      <c r="B29" s="3178"/>
      <c r="C29" s="1179" t="s">
        <v>845</v>
      </c>
    </row>
    <row r="30" spans="1:3" ht="14.25">
      <c r="A30" s="3174"/>
      <c r="B30" s="3178"/>
      <c r="C30" s="1179" t="s">
        <v>846</v>
      </c>
    </row>
    <row r="31" spans="1:3" ht="14.25">
      <c r="A31" s="3174"/>
      <c r="B31" s="3178"/>
      <c r="C31" s="1179" t="s">
        <v>847</v>
      </c>
    </row>
    <row r="32" spans="1:3" ht="14.25">
      <c r="A32" s="3174"/>
      <c r="B32" s="3178"/>
      <c r="C32" s="1179" t="s">
        <v>1650</v>
      </c>
    </row>
    <row r="33" spans="1:3" ht="14.25">
      <c r="A33" s="3174"/>
      <c r="B33" s="3168" t="s">
        <v>1656</v>
      </c>
      <c r="C33" s="1179" t="s">
        <v>1651</v>
      </c>
    </row>
    <row r="34" spans="1:3" ht="14.25">
      <c r="A34" s="3174"/>
      <c r="B34" s="3169"/>
      <c r="C34" s="1184" t="s">
        <v>1652</v>
      </c>
    </row>
    <row r="35" spans="1:3" ht="14.25">
      <c r="A35" s="3174"/>
      <c r="B35" s="3169"/>
      <c r="C35" s="1185" t="s">
        <v>1653</v>
      </c>
    </row>
    <row r="36" spans="1:3" ht="14.25">
      <c r="A36" s="3174"/>
      <c r="B36" s="3169"/>
      <c r="C36" s="1185" t="s">
        <v>1654</v>
      </c>
    </row>
    <row r="37" spans="1:3" ht="14.25">
      <c r="A37" s="3174"/>
      <c r="B37" s="3170"/>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42929</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2589</v>
      </c>
      <c r="B15" s="2354">
        <v>1120070085</v>
      </c>
      <c r="C15" s="3046">
        <v>43814</v>
      </c>
      <c r="D15" s="2354" t="s">
        <v>2589</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2064</v>
      </c>
      <c r="B24" s="2356" t="s">
        <v>2064</v>
      </c>
      <c r="C24" s="3046"/>
      <c r="D24" s="3048" t="s">
        <v>2064</v>
      </c>
      <c r="E24" s="2356" t="s">
        <v>2064</v>
      </c>
      <c r="F24" s="2357"/>
    </row>
    <row r="25" spans="1:7" ht="20.25" customHeight="1">
      <c r="A25" s="3179" t="s">
        <v>1936</v>
      </c>
      <c r="B25" s="3179"/>
      <c r="C25" s="3179"/>
      <c r="D25" s="3179"/>
      <c r="E25" s="3179"/>
      <c r="F25" s="3179"/>
      <c r="G25" s="3179"/>
    </row>
    <row r="26" spans="1:7" ht="20.25" customHeight="1">
      <c r="A26" s="3180" t="s">
        <v>1937</v>
      </c>
      <c r="B26" s="3180"/>
      <c r="C26" s="3180"/>
      <c r="D26" s="3180" t="s">
        <v>1938</v>
      </c>
      <c r="E26" s="3180"/>
      <c r="F26" s="3180"/>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2314</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2560</v>
      </c>
      <c r="R1" s="2618" t="s">
        <v>2554</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2555</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2556</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2557</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2558</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2559</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1996</v>
      </c>
      <c r="B52" s="1775" t="s">
        <v>1997</v>
      </c>
      <c r="C52" s="1773" t="s">
        <v>1998</v>
      </c>
      <c r="D52" s="1773" t="s">
        <v>1999</v>
      </c>
      <c r="E52" s="1774"/>
    </row>
    <row r="53" spans="1:5">
      <c r="A53" s="3181"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7日，在规划利用条件下、设定土地开发程度为红线外“七通”、宗地内场地，设定用途为，剩余土地使用年限为的出让国有建设用地使用权价格。</v>
      </c>
      <c r="D53" s="1774"/>
      <c r="E53" s="1774"/>
    </row>
    <row r="54" spans="1:5">
      <c r="A54" s="3181"/>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1"/>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1"/>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1"/>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2060</v>
      </c>
      <c r="B58" s="1773" t="s">
        <v>2061</v>
      </c>
      <c r="C58" s="11" t="s">
        <v>2062</v>
      </c>
      <c r="D58" s="1322" t="s">
        <v>2063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2017-07-13T08:06:35Z</dcterms:modified>
</cp:coreProperties>
</file>