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9" i="66" l="1"/>
  <c r="D18" i="66"/>
  <c r="D17" i="66"/>
  <c r="D16" i="66"/>
  <c r="D15" i="66"/>
  <c r="C19" i="66"/>
  <c r="C18" i="66"/>
  <c r="C17" i="66"/>
  <c r="C16" i="66"/>
  <c r="C15" i="66"/>
  <c r="B19" i="66"/>
  <c r="B18" i="66"/>
  <c r="B17" i="66"/>
  <c r="B16" i="66"/>
  <c r="B15" i="66"/>
  <c r="C19" i="6"/>
  <c r="A6" i="1"/>
  <c r="F19" i="6"/>
  <c r="E19" i="6"/>
  <c r="C20" i="6"/>
  <c r="K6" i="1"/>
  <c r="A7" i="1"/>
  <c r="F20" i="6"/>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Q19" i="1"/>
  <c r="B27" i="9"/>
  <c r="D27" i="9"/>
  <c r="D30" i="9"/>
  <c r="B30" i="9"/>
  <c r="C33" i="21"/>
  <c r="C40" i="39"/>
  <c r="F15" i="15"/>
  <c r="F17" i="15"/>
  <c r="B22" i="1"/>
  <c r="C2" i="65"/>
  <c r="F21" i="15"/>
  <c r="D101" i="21"/>
  <c r="D77" i="21"/>
  <c r="E77" i="21"/>
  <c r="F77" i="21"/>
  <c r="D79" i="21"/>
  <c r="E79" i="21"/>
  <c r="D81" i="21"/>
  <c r="E81" i="21"/>
  <c r="F81" i="21"/>
  <c r="D85" i="21"/>
  <c r="F23" i="21"/>
  <c r="F33" i="21"/>
  <c r="AA33" i="21"/>
  <c r="R47" i="21"/>
  <c r="H33" i="21"/>
  <c r="AB33" i="21"/>
  <c r="J33" i="21"/>
  <c r="AC33" i="21"/>
  <c r="V47" i="21"/>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B14" i="3"/>
  <c r="BC14" i="3"/>
  <c r="BD14" i="3"/>
  <c r="BE14" i="3"/>
  <c r="BF14" i="3"/>
  <c r="BG14" i="3"/>
  <c r="BH14" i="3"/>
  <c r="BI14" i="3"/>
  <c r="BJ14" i="3"/>
  <c r="BK14" i="3"/>
  <c r="H13" i="3"/>
  <c r="H14" i="3"/>
  <c r="AE7" i="59"/>
  <c r="AF7" i="59"/>
  <c r="AG7" i="59"/>
  <c r="AH7" i="59"/>
  <c r="AD7" i="59"/>
  <c r="Q7" i="59"/>
  <c r="P7" i="59"/>
  <c r="O7" i="59"/>
  <c r="N7" i="59"/>
  <c r="N8" i="59"/>
  <c r="Q8" i="59"/>
  <c r="P8" i="59"/>
  <c r="O8" i="59"/>
  <c r="L4" i="9"/>
  <c r="M4" i="9"/>
  <c r="A30" i="51"/>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P11" i="59"/>
  <c r="E11" i="59"/>
  <c r="K75" i="9"/>
  <c r="K6" i="4"/>
  <c r="O76" i="9"/>
  <c r="L76" i="9"/>
  <c r="K76" i="9"/>
  <c r="B22" i="31"/>
  <c r="E16" i="66"/>
  <c r="F16" i="66"/>
  <c r="E18" i="66"/>
  <c r="F18" i="66"/>
  <c r="E20" i="66"/>
  <c r="F20" i="66"/>
  <c r="E21" i="66"/>
  <c r="F21" i="66"/>
  <c r="E22" i="66"/>
  <c r="F22" i="66"/>
  <c r="E23" i="66"/>
  <c r="F23" i="66"/>
  <c r="B3" i="66"/>
  <c r="N11" i="59"/>
  <c r="B11" i="59"/>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O11" i="59"/>
  <c r="C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M16" i="4"/>
  <c r="N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B13" i="1"/>
  <c r="E13" i="1"/>
  <c r="R10" i="1"/>
  <c r="T4" i="1"/>
  <c r="M13" i="1"/>
  <c r="G79" i="36"/>
  <c r="G85" i="35"/>
  <c r="G97" i="37"/>
  <c r="G110" i="34"/>
  <c r="G109" i="33"/>
  <c r="L2" i="31"/>
  <c r="K2" i="31"/>
  <c r="J2" i="31"/>
  <c r="I2" i="31"/>
  <c r="H2" i="31"/>
  <c r="G2" i="31"/>
  <c r="F2" i="31"/>
  <c r="E2" i="31"/>
  <c r="D2" i="31"/>
  <c r="C2" i="31"/>
  <c r="D60" i="15"/>
  <c r="G19" i="20"/>
  <c r="B84" i="46"/>
  <c r="BL112" i="3"/>
  <c r="BK112" i="3"/>
  <c r="BJ112" i="3"/>
  <c r="BI112" i="3"/>
  <c r="BH112" i="3"/>
  <c r="BG112" i="3"/>
  <c r="BF112" i="3"/>
  <c r="BE112" i="3"/>
  <c r="BD112" i="3"/>
  <c r="BC112" i="3"/>
  <c r="BB112" i="3"/>
  <c r="BA112" i="3"/>
  <c r="AX112" i="3"/>
  <c r="AW112" i="3"/>
  <c r="AV112" i="3"/>
  <c r="AC112" i="3"/>
  <c r="H112" i="3"/>
  <c r="G112" i="3"/>
  <c r="BL111" i="3"/>
  <c r="BK111" i="3"/>
  <c r="BJ111" i="3"/>
  <c r="BI111" i="3"/>
  <c r="BH111" i="3"/>
  <c r="BG111" i="3"/>
  <c r="BF111" i="3"/>
  <c r="BE111" i="3"/>
  <c r="BD111" i="3"/>
  <c r="BC111" i="3"/>
  <c r="BB111" i="3"/>
  <c r="BA111" i="3"/>
  <c r="AX111" i="3"/>
  <c r="AW111" i="3"/>
  <c r="AV111" i="3"/>
  <c r="AC111" i="3"/>
  <c r="H111" i="3"/>
  <c r="G111" i="3"/>
  <c r="BL110" i="3"/>
  <c r="BK110" i="3"/>
  <c r="BJ110" i="3"/>
  <c r="BI110" i="3"/>
  <c r="BH110" i="3"/>
  <c r="BG110" i="3"/>
  <c r="BF110" i="3"/>
  <c r="BE110" i="3"/>
  <c r="BD110" i="3"/>
  <c r="BC110" i="3"/>
  <c r="BB110" i="3"/>
  <c r="BA110" i="3"/>
  <c r="AX110" i="3"/>
  <c r="AW110" i="3"/>
  <c r="AV110" i="3"/>
  <c r="AC110" i="3"/>
  <c r="H110" i="3"/>
  <c r="G110" i="3"/>
  <c r="BL109" i="3"/>
  <c r="BK109" i="3"/>
  <c r="BJ109" i="3"/>
  <c r="BI109" i="3"/>
  <c r="BH109" i="3"/>
  <c r="BG109" i="3"/>
  <c r="BF109" i="3"/>
  <c r="BE109" i="3"/>
  <c r="BD109" i="3"/>
  <c r="BC109" i="3"/>
  <c r="BB109" i="3"/>
  <c r="BA109" i="3"/>
  <c r="AZ109" i="3"/>
  <c r="AX109" i="3"/>
  <c r="AW109" i="3"/>
  <c r="AV109" i="3"/>
  <c r="AC109" i="3"/>
  <c r="H109" i="3"/>
  <c r="G109" i="3"/>
  <c r="BL108" i="3"/>
  <c r="BK108" i="3"/>
  <c r="BJ108" i="3"/>
  <c r="BI108" i="3"/>
  <c r="BH108" i="3"/>
  <c r="BG108" i="3"/>
  <c r="BF108" i="3"/>
  <c r="BE108" i="3"/>
  <c r="BD108" i="3"/>
  <c r="BC108" i="3"/>
  <c r="BB108" i="3"/>
  <c r="BA108" i="3"/>
  <c r="AX108" i="3"/>
  <c r="AW108" i="3"/>
  <c r="AV108" i="3"/>
  <c r="AC108" i="3"/>
  <c r="H108" i="3"/>
  <c r="G108" i="3"/>
  <c r="BL107" i="3"/>
  <c r="BK107" i="3"/>
  <c r="BJ107" i="3"/>
  <c r="BI107" i="3"/>
  <c r="BH107" i="3"/>
  <c r="BG107" i="3"/>
  <c r="BF107" i="3"/>
  <c r="BE107" i="3"/>
  <c r="BD107" i="3"/>
  <c r="BC107" i="3"/>
  <c r="BB107" i="3"/>
  <c r="BA107" i="3"/>
  <c r="AX107" i="3"/>
  <c r="AW107" i="3"/>
  <c r="AV107" i="3"/>
  <c r="AC107" i="3"/>
  <c r="H107" i="3"/>
  <c r="G107" i="3"/>
  <c r="BL106" i="3"/>
  <c r="BK106" i="3"/>
  <c r="BJ106" i="3"/>
  <c r="BI106" i="3"/>
  <c r="BH106" i="3"/>
  <c r="BG106" i="3"/>
  <c r="BF106" i="3"/>
  <c r="BE106" i="3"/>
  <c r="BD106" i="3"/>
  <c r="BC106" i="3"/>
  <c r="BB106" i="3"/>
  <c r="BA106" i="3"/>
  <c r="AX106" i="3"/>
  <c r="AW106" i="3"/>
  <c r="AV106" i="3"/>
  <c r="AC106" i="3"/>
  <c r="H106" i="3"/>
  <c r="G106" i="3"/>
  <c r="BL105" i="3"/>
  <c r="BK105" i="3"/>
  <c r="BJ105" i="3"/>
  <c r="BI105" i="3"/>
  <c r="BH105" i="3"/>
  <c r="BG105" i="3"/>
  <c r="BF105" i="3"/>
  <c r="BE105" i="3"/>
  <c r="BD105" i="3"/>
  <c r="BC105" i="3"/>
  <c r="BB105" i="3"/>
  <c r="BA105" i="3"/>
  <c r="AZ105" i="3"/>
  <c r="AX105" i="3"/>
  <c r="AW105" i="3"/>
  <c r="AV105" i="3"/>
  <c r="AC105" i="3"/>
  <c r="H105" i="3"/>
  <c r="G105" i="3"/>
  <c r="BL104" i="3"/>
  <c r="BK104" i="3"/>
  <c r="BJ104" i="3"/>
  <c r="BI104" i="3"/>
  <c r="BH104" i="3"/>
  <c r="BG104" i="3"/>
  <c r="BF104" i="3"/>
  <c r="BE104" i="3"/>
  <c r="BD104" i="3"/>
  <c r="BC104" i="3"/>
  <c r="BB104" i="3"/>
  <c r="BA104" i="3"/>
  <c r="AX104" i="3"/>
  <c r="AW104" i="3"/>
  <c r="AV104" i="3"/>
  <c r="AC104" i="3"/>
  <c r="H104" i="3"/>
  <c r="G104" i="3"/>
  <c r="BL103" i="3"/>
  <c r="BK103" i="3"/>
  <c r="BJ103" i="3"/>
  <c r="BI103" i="3"/>
  <c r="BH103" i="3"/>
  <c r="BG103" i="3"/>
  <c r="BF103" i="3"/>
  <c r="BE103" i="3"/>
  <c r="BD103" i="3"/>
  <c r="BC103" i="3"/>
  <c r="BB103" i="3"/>
  <c r="BA103" i="3"/>
  <c r="AZ103" i="3"/>
  <c r="AX103" i="3"/>
  <c r="AW103" i="3"/>
  <c r="AV103" i="3"/>
  <c r="AC103" i="3"/>
  <c r="H103" i="3"/>
  <c r="G103" i="3"/>
  <c r="BL102" i="3"/>
  <c r="BK102" i="3"/>
  <c r="BJ102" i="3"/>
  <c r="BI102" i="3"/>
  <c r="BH102" i="3"/>
  <c r="BG102" i="3"/>
  <c r="BF102" i="3"/>
  <c r="BE102" i="3"/>
  <c r="BD102" i="3"/>
  <c r="BC102" i="3"/>
  <c r="BB102" i="3"/>
  <c r="BA102" i="3"/>
  <c r="AX102" i="3"/>
  <c r="AW102" i="3"/>
  <c r="AV102" i="3"/>
  <c r="AC102" i="3"/>
  <c r="H102" i="3"/>
  <c r="G102" i="3"/>
  <c r="BL101" i="3"/>
  <c r="BK101" i="3"/>
  <c r="BJ101" i="3"/>
  <c r="BI101" i="3"/>
  <c r="BH101" i="3"/>
  <c r="BG101" i="3"/>
  <c r="BF101" i="3"/>
  <c r="BE101" i="3"/>
  <c r="BD101" i="3"/>
  <c r="BC101" i="3"/>
  <c r="BB101" i="3"/>
  <c r="BA101" i="3"/>
  <c r="AZ101" i="3"/>
  <c r="AX101" i="3"/>
  <c r="AW101" i="3"/>
  <c r="AV101" i="3"/>
  <c r="AC101" i="3"/>
  <c r="H101" i="3"/>
  <c r="G101" i="3"/>
  <c r="BL100" i="3"/>
  <c r="BK100" i="3"/>
  <c r="BJ100" i="3"/>
  <c r="BI100" i="3"/>
  <c r="BH100" i="3"/>
  <c r="BG100" i="3"/>
  <c r="BF100" i="3"/>
  <c r="BE100" i="3"/>
  <c r="BD100" i="3"/>
  <c r="BC100" i="3"/>
  <c r="BB100" i="3"/>
  <c r="BA100" i="3"/>
  <c r="AZ100" i="3"/>
  <c r="AX100" i="3"/>
  <c r="AW100" i="3"/>
  <c r="AV100" i="3"/>
  <c r="AC100" i="3"/>
  <c r="H100" i="3"/>
  <c r="G100" i="3"/>
  <c r="BL99" i="3"/>
  <c r="BK99" i="3"/>
  <c r="BJ99" i="3"/>
  <c r="BI99" i="3"/>
  <c r="BH99" i="3"/>
  <c r="BG99" i="3"/>
  <c r="BF99" i="3"/>
  <c r="BE99" i="3"/>
  <c r="BD99" i="3"/>
  <c r="BC99" i="3"/>
  <c r="BB99" i="3"/>
  <c r="BA99" i="3"/>
  <c r="AX99" i="3"/>
  <c r="AW99" i="3"/>
  <c r="AV99" i="3"/>
  <c r="AC99" i="3"/>
  <c r="H99" i="3"/>
  <c r="G99" i="3"/>
  <c r="BL98" i="3"/>
  <c r="BK98" i="3"/>
  <c r="BJ98" i="3"/>
  <c r="BI98" i="3"/>
  <c r="BH98" i="3"/>
  <c r="BG98" i="3"/>
  <c r="BF98" i="3"/>
  <c r="BE98" i="3"/>
  <c r="BD98" i="3"/>
  <c r="BC98" i="3"/>
  <c r="BB98" i="3"/>
  <c r="BA98" i="3"/>
  <c r="AX98" i="3"/>
  <c r="AW98" i="3"/>
  <c r="AV98" i="3"/>
  <c r="AC98" i="3"/>
  <c r="H98" i="3"/>
  <c r="G98" i="3"/>
  <c r="BL97" i="3"/>
  <c r="BK97" i="3"/>
  <c r="BJ97" i="3"/>
  <c r="BI97" i="3"/>
  <c r="BH97" i="3"/>
  <c r="BG97" i="3"/>
  <c r="BF97" i="3"/>
  <c r="BE97" i="3"/>
  <c r="BD97" i="3"/>
  <c r="BC97" i="3"/>
  <c r="BB97" i="3"/>
  <c r="BA97" i="3"/>
  <c r="AZ97" i="3"/>
  <c r="AX97" i="3"/>
  <c r="AW97" i="3"/>
  <c r="AV97" i="3"/>
  <c r="AC97" i="3"/>
  <c r="H97" i="3"/>
  <c r="G97" i="3"/>
  <c r="BL96" i="3"/>
  <c r="BK96" i="3"/>
  <c r="BJ96" i="3"/>
  <c r="BI96" i="3"/>
  <c r="BH96" i="3"/>
  <c r="BG96" i="3"/>
  <c r="BF96" i="3"/>
  <c r="BE96" i="3"/>
  <c r="BD96" i="3"/>
  <c r="BC96" i="3"/>
  <c r="BB96" i="3"/>
  <c r="BA96" i="3"/>
  <c r="AZ96" i="3"/>
  <c r="AX96" i="3"/>
  <c r="AW96" i="3"/>
  <c r="AV96" i="3"/>
  <c r="AC96" i="3"/>
  <c r="H96" i="3"/>
  <c r="G96" i="3"/>
  <c r="BL95" i="3"/>
  <c r="BK95" i="3"/>
  <c r="BJ95" i="3"/>
  <c r="BI95" i="3"/>
  <c r="BH95" i="3"/>
  <c r="BG95" i="3"/>
  <c r="BF95" i="3"/>
  <c r="BE95" i="3"/>
  <c r="BD95" i="3"/>
  <c r="BC95" i="3"/>
  <c r="BB95" i="3"/>
  <c r="BA95" i="3"/>
  <c r="AZ95" i="3"/>
  <c r="AX95" i="3"/>
  <c r="AW95" i="3"/>
  <c r="AV95" i="3"/>
  <c r="AC95" i="3"/>
  <c r="H95" i="3"/>
  <c r="G95" i="3"/>
  <c r="BL94" i="3"/>
  <c r="BK94" i="3"/>
  <c r="BJ94" i="3"/>
  <c r="BI94" i="3"/>
  <c r="BH94" i="3"/>
  <c r="BG94" i="3"/>
  <c r="BF94" i="3"/>
  <c r="BE94" i="3"/>
  <c r="BD94" i="3"/>
  <c r="BC94" i="3"/>
  <c r="BB94" i="3"/>
  <c r="BA94" i="3"/>
  <c r="AX94" i="3"/>
  <c r="AW94" i="3"/>
  <c r="AV94" i="3"/>
  <c r="AC94" i="3"/>
  <c r="H94" i="3"/>
  <c r="G94" i="3"/>
  <c r="BL93" i="3"/>
  <c r="BK93" i="3"/>
  <c r="BJ93" i="3"/>
  <c r="BI93" i="3"/>
  <c r="BH93" i="3"/>
  <c r="BG93" i="3"/>
  <c r="BF93" i="3"/>
  <c r="BE93" i="3"/>
  <c r="BD93" i="3"/>
  <c r="BC93" i="3"/>
  <c r="BB93" i="3"/>
  <c r="BA93" i="3"/>
  <c r="AZ93" i="3"/>
  <c r="AX93" i="3"/>
  <c r="AW93" i="3"/>
  <c r="AV93" i="3"/>
  <c r="AC93" i="3"/>
  <c r="H93" i="3"/>
  <c r="G93" i="3"/>
  <c r="BL92" i="3"/>
  <c r="BK92" i="3"/>
  <c r="BJ92" i="3"/>
  <c r="BI92" i="3"/>
  <c r="BH92" i="3"/>
  <c r="BG92" i="3"/>
  <c r="BF92" i="3"/>
  <c r="BE92" i="3"/>
  <c r="BD92" i="3"/>
  <c r="BC92" i="3"/>
  <c r="BB92" i="3"/>
  <c r="BA92" i="3"/>
  <c r="AZ92" i="3"/>
  <c r="AX92" i="3"/>
  <c r="AW92" i="3"/>
  <c r="AV92" i="3"/>
  <c r="AC92" i="3"/>
  <c r="H92" i="3"/>
  <c r="G92" i="3"/>
  <c r="BL91" i="3"/>
  <c r="BK91" i="3"/>
  <c r="BJ91" i="3"/>
  <c r="BI91" i="3"/>
  <c r="BH91" i="3"/>
  <c r="BG91" i="3"/>
  <c r="BF91" i="3"/>
  <c r="BE91" i="3"/>
  <c r="BD91" i="3"/>
  <c r="BC91" i="3"/>
  <c r="BB91" i="3"/>
  <c r="BA91" i="3"/>
  <c r="AX91" i="3"/>
  <c r="AW91" i="3"/>
  <c r="AV91" i="3"/>
  <c r="AC91" i="3"/>
  <c r="H91" i="3"/>
  <c r="G91" i="3"/>
  <c r="BL90" i="3"/>
  <c r="BK90" i="3"/>
  <c r="BJ90" i="3"/>
  <c r="BI90" i="3"/>
  <c r="BH90" i="3"/>
  <c r="BG90" i="3"/>
  <c r="BF90" i="3"/>
  <c r="BE90" i="3"/>
  <c r="BD90" i="3"/>
  <c r="BC90" i="3"/>
  <c r="BB90" i="3"/>
  <c r="BA90" i="3"/>
  <c r="AX90" i="3"/>
  <c r="AW90" i="3"/>
  <c r="AV90" i="3"/>
  <c r="AC90" i="3"/>
  <c r="H90" i="3"/>
  <c r="G90" i="3"/>
  <c r="BL89" i="3"/>
  <c r="BK89" i="3"/>
  <c r="BJ89" i="3"/>
  <c r="BI89" i="3"/>
  <c r="BH89" i="3"/>
  <c r="BG89" i="3"/>
  <c r="BF89" i="3"/>
  <c r="BE89" i="3"/>
  <c r="BD89" i="3"/>
  <c r="BC89" i="3"/>
  <c r="BB89" i="3"/>
  <c r="BA89" i="3"/>
  <c r="AZ89" i="3"/>
  <c r="AX89" i="3"/>
  <c r="AW89" i="3"/>
  <c r="AV89" i="3"/>
  <c r="AC89" i="3"/>
  <c r="H89" i="3"/>
  <c r="G89" i="3"/>
  <c r="BL88" i="3"/>
  <c r="BK88" i="3"/>
  <c r="BJ88" i="3"/>
  <c r="BI88" i="3"/>
  <c r="BH88" i="3"/>
  <c r="BG88" i="3"/>
  <c r="BF88" i="3"/>
  <c r="BE88" i="3"/>
  <c r="BD88" i="3"/>
  <c r="BC88" i="3"/>
  <c r="BB88" i="3"/>
  <c r="BA88" i="3"/>
  <c r="AZ88" i="3"/>
  <c r="AX88" i="3"/>
  <c r="AW88" i="3"/>
  <c r="AV88" i="3"/>
  <c r="AC88" i="3"/>
  <c r="H88" i="3"/>
  <c r="G88" i="3"/>
  <c r="BL87" i="3"/>
  <c r="BK87" i="3"/>
  <c r="BJ87" i="3"/>
  <c r="BI87" i="3"/>
  <c r="BH87" i="3"/>
  <c r="BG87" i="3"/>
  <c r="BF87" i="3"/>
  <c r="BE87" i="3"/>
  <c r="BD87" i="3"/>
  <c r="BC87" i="3"/>
  <c r="BB87" i="3"/>
  <c r="BA87" i="3"/>
  <c r="AZ87" i="3"/>
  <c r="AX87" i="3"/>
  <c r="AW87" i="3"/>
  <c r="AV87" i="3"/>
  <c r="AC87" i="3"/>
  <c r="H87" i="3"/>
  <c r="G87" i="3"/>
  <c r="BL86" i="3"/>
  <c r="BK86" i="3"/>
  <c r="BJ86" i="3"/>
  <c r="BI86" i="3"/>
  <c r="BH86" i="3"/>
  <c r="BG86" i="3"/>
  <c r="BF86" i="3"/>
  <c r="BE86" i="3"/>
  <c r="BD86" i="3"/>
  <c r="BC86" i="3"/>
  <c r="BB86" i="3"/>
  <c r="BA86" i="3"/>
  <c r="AX86" i="3"/>
  <c r="AW86" i="3"/>
  <c r="AV86" i="3"/>
  <c r="AC86" i="3"/>
  <c r="H86" i="3"/>
  <c r="G86" i="3"/>
  <c r="BL85" i="3"/>
  <c r="BK85" i="3"/>
  <c r="BJ85" i="3"/>
  <c r="BI85" i="3"/>
  <c r="BH85" i="3"/>
  <c r="BG85" i="3"/>
  <c r="BF85" i="3"/>
  <c r="BE85" i="3"/>
  <c r="BD85" i="3"/>
  <c r="BC85" i="3"/>
  <c r="BB85" i="3"/>
  <c r="BA85" i="3"/>
  <c r="AX85" i="3"/>
  <c r="AW85" i="3"/>
  <c r="AV85" i="3"/>
  <c r="AC85" i="3"/>
  <c r="H85" i="3"/>
  <c r="G85" i="3"/>
  <c r="BL84" i="3"/>
  <c r="BK84" i="3"/>
  <c r="BJ84" i="3"/>
  <c r="BI84" i="3"/>
  <c r="BH84" i="3"/>
  <c r="BG84" i="3"/>
  <c r="BF84" i="3"/>
  <c r="BE84" i="3"/>
  <c r="BD84" i="3"/>
  <c r="BC84" i="3"/>
  <c r="BB84" i="3"/>
  <c r="BA84" i="3"/>
  <c r="AX84" i="3"/>
  <c r="AW84" i="3"/>
  <c r="AV84" i="3"/>
  <c r="AC84" i="3"/>
  <c r="H84" i="3"/>
  <c r="G84" i="3"/>
  <c r="BL83" i="3"/>
  <c r="BK83" i="3"/>
  <c r="BJ83" i="3"/>
  <c r="BI83" i="3"/>
  <c r="BH83" i="3"/>
  <c r="BG83" i="3"/>
  <c r="BF83" i="3"/>
  <c r="BE83" i="3"/>
  <c r="BD83" i="3"/>
  <c r="BC83" i="3"/>
  <c r="BB83" i="3"/>
  <c r="BA83" i="3"/>
  <c r="AZ83" i="3"/>
  <c r="AX83" i="3"/>
  <c r="AW83" i="3"/>
  <c r="AV83" i="3"/>
  <c r="AC83" i="3"/>
  <c r="H83" i="3"/>
  <c r="G83" i="3"/>
  <c r="BL82" i="3"/>
  <c r="BK82" i="3"/>
  <c r="BJ82" i="3"/>
  <c r="BI82" i="3"/>
  <c r="BH82" i="3"/>
  <c r="BG82" i="3"/>
  <c r="BF82" i="3"/>
  <c r="BE82" i="3"/>
  <c r="BD82" i="3"/>
  <c r="BC82" i="3"/>
  <c r="BB82" i="3"/>
  <c r="BA82" i="3"/>
  <c r="AX82" i="3"/>
  <c r="AW82" i="3"/>
  <c r="AV82" i="3"/>
  <c r="AC82" i="3"/>
  <c r="H82" i="3"/>
  <c r="G82" i="3"/>
  <c r="BL81" i="3"/>
  <c r="BK81" i="3"/>
  <c r="BJ81" i="3"/>
  <c r="BI81" i="3"/>
  <c r="BH81" i="3"/>
  <c r="BG81" i="3"/>
  <c r="BF81" i="3"/>
  <c r="BE81" i="3"/>
  <c r="BD81" i="3"/>
  <c r="BC81" i="3"/>
  <c r="BB81" i="3"/>
  <c r="BA81" i="3"/>
  <c r="AZ81" i="3"/>
  <c r="AX81" i="3"/>
  <c r="AW81" i="3"/>
  <c r="AV81" i="3"/>
  <c r="AC81" i="3"/>
  <c r="H81" i="3"/>
  <c r="G81" i="3"/>
  <c r="BL80" i="3"/>
  <c r="BK80" i="3"/>
  <c r="BJ80" i="3"/>
  <c r="BI80" i="3"/>
  <c r="BH80" i="3"/>
  <c r="BG80" i="3"/>
  <c r="BF80" i="3"/>
  <c r="BE80" i="3"/>
  <c r="BD80" i="3"/>
  <c r="BC80" i="3"/>
  <c r="BB80" i="3"/>
  <c r="BA80" i="3"/>
  <c r="AZ80" i="3"/>
  <c r="AX80" i="3"/>
  <c r="AW80" i="3"/>
  <c r="AV80" i="3"/>
  <c r="AC80" i="3"/>
  <c r="H80" i="3"/>
  <c r="G80" i="3"/>
  <c r="BL79" i="3"/>
  <c r="BK79" i="3"/>
  <c r="BJ79" i="3"/>
  <c r="BI79" i="3"/>
  <c r="BH79" i="3"/>
  <c r="BG79" i="3"/>
  <c r="BF79" i="3"/>
  <c r="BE79" i="3"/>
  <c r="BD79" i="3"/>
  <c r="BC79" i="3"/>
  <c r="BB79" i="3"/>
  <c r="BA79" i="3"/>
  <c r="AX79" i="3"/>
  <c r="AW79" i="3"/>
  <c r="AV79" i="3"/>
  <c r="AC79" i="3"/>
  <c r="H79" i="3"/>
  <c r="G79" i="3"/>
  <c r="BL78" i="3"/>
  <c r="BK78" i="3"/>
  <c r="BJ78" i="3"/>
  <c r="BI78" i="3"/>
  <c r="BH78" i="3"/>
  <c r="BG78" i="3"/>
  <c r="BF78" i="3"/>
  <c r="BE78" i="3"/>
  <c r="BD78" i="3"/>
  <c r="BC78" i="3"/>
  <c r="BB78" i="3"/>
  <c r="BA78" i="3"/>
  <c r="AX78" i="3"/>
  <c r="AW78" i="3"/>
  <c r="AV78" i="3"/>
  <c r="AC78" i="3"/>
  <c r="H78" i="3"/>
  <c r="G78" i="3"/>
  <c r="BL77" i="3"/>
  <c r="BK77" i="3"/>
  <c r="BJ77" i="3"/>
  <c r="BI77" i="3"/>
  <c r="BH77" i="3"/>
  <c r="BG77" i="3"/>
  <c r="BF77" i="3"/>
  <c r="BE77" i="3"/>
  <c r="BD77" i="3"/>
  <c r="BC77" i="3"/>
  <c r="BB77" i="3"/>
  <c r="BA77" i="3"/>
  <c r="AX77" i="3"/>
  <c r="AW77" i="3"/>
  <c r="AV77" i="3"/>
  <c r="AC77" i="3"/>
  <c r="H77" i="3"/>
  <c r="G77" i="3"/>
  <c r="BL76" i="3"/>
  <c r="BK76" i="3"/>
  <c r="BJ76" i="3"/>
  <c r="BI76" i="3"/>
  <c r="BH76" i="3"/>
  <c r="BG76" i="3"/>
  <c r="BF76" i="3"/>
  <c r="BE76" i="3"/>
  <c r="BD76" i="3"/>
  <c r="BC76" i="3"/>
  <c r="BB76" i="3"/>
  <c r="BA76" i="3"/>
  <c r="AZ76" i="3"/>
  <c r="AX76" i="3"/>
  <c r="AW76" i="3"/>
  <c r="AV76" i="3"/>
  <c r="AC76" i="3"/>
  <c r="H76" i="3"/>
  <c r="G76" i="3"/>
  <c r="BL75" i="3"/>
  <c r="BK75" i="3"/>
  <c r="BJ75" i="3"/>
  <c r="BI75" i="3"/>
  <c r="BH75" i="3"/>
  <c r="BG75" i="3"/>
  <c r="BF75" i="3"/>
  <c r="BE75" i="3"/>
  <c r="BD75" i="3"/>
  <c r="BC75" i="3"/>
  <c r="BB75" i="3"/>
  <c r="BA75" i="3"/>
  <c r="AX75" i="3"/>
  <c r="AW75" i="3"/>
  <c r="AV75" i="3"/>
  <c r="AC75" i="3"/>
  <c r="H75" i="3"/>
  <c r="G75" i="3"/>
  <c r="BL74" i="3"/>
  <c r="BK74" i="3"/>
  <c r="BJ74" i="3"/>
  <c r="BI74" i="3"/>
  <c r="BH74" i="3"/>
  <c r="BG74" i="3"/>
  <c r="BF74" i="3"/>
  <c r="BE74" i="3"/>
  <c r="BD74" i="3"/>
  <c r="BC74" i="3"/>
  <c r="BB74" i="3"/>
  <c r="BA74" i="3"/>
  <c r="AX74" i="3"/>
  <c r="AW74" i="3"/>
  <c r="AV74" i="3"/>
  <c r="AC74" i="3"/>
  <c r="H74" i="3"/>
  <c r="G74" i="3"/>
  <c r="BL73" i="3"/>
  <c r="BK73" i="3"/>
  <c r="BJ73" i="3"/>
  <c r="BI73" i="3"/>
  <c r="BH73" i="3"/>
  <c r="BG73" i="3"/>
  <c r="BF73" i="3"/>
  <c r="BE73" i="3"/>
  <c r="BD73" i="3"/>
  <c r="BC73" i="3"/>
  <c r="BB73" i="3"/>
  <c r="BA73" i="3"/>
  <c r="AZ73" i="3"/>
  <c r="AX73" i="3"/>
  <c r="AW73" i="3"/>
  <c r="AV73" i="3"/>
  <c r="AC73" i="3"/>
  <c r="H73" i="3"/>
  <c r="G73" i="3"/>
  <c r="BL72" i="3"/>
  <c r="BK72" i="3"/>
  <c r="BJ72" i="3"/>
  <c r="BI72" i="3"/>
  <c r="BH72" i="3"/>
  <c r="BG72" i="3"/>
  <c r="BF72" i="3"/>
  <c r="BE72" i="3"/>
  <c r="BD72" i="3"/>
  <c r="BC72" i="3"/>
  <c r="BB72" i="3"/>
  <c r="BA72" i="3"/>
  <c r="AZ72" i="3"/>
  <c r="AX72" i="3"/>
  <c r="AW72" i="3"/>
  <c r="AV72" i="3"/>
  <c r="AC72" i="3"/>
  <c r="H72" i="3"/>
  <c r="G72" i="3"/>
  <c r="BL71" i="3"/>
  <c r="BK71" i="3"/>
  <c r="BJ71" i="3"/>
  <c r="BI71" i="3"/>
  <c r="BH71" i="3"/>
  <c r="BG71" i="3"/>
  <c r="BF71" i="3"/>
  <c r="BE71" i="3"/>
  <c r="BD71" i="3"/>
  <c r="BC71" i="3"/>
  <c r="BB71" i="3"/>
  <c r="BA71" i="3"/>
  <c r="AX71" i="3"/>
  <c r="AW71" i="3"/>
  <c r="AV71" i="3"/>
  <c r="AC71" i="3"/>
  <c r="H71" i="3"/>
  <c r="G71" i="3"/>
  <c r="BL70" i="3"/>
  <c r="BK70" i="3"/>
  <c r="BJ70" i="3"/>
  <c r="BI70" i="3"/>
  <c r="BH70" i="3"/>
  <c r="BG70" i="3"/>
  <c r="BF70" i="3"/>
  <c r="BE70" i="3"/>
  <c r="BD70" i="3"/>
  <c r="BC70" i="3"/>
  <c r="BB70" i="3"/>
  <c r="BA70" i="3"/>
  <c r="AX70" i="3"/>
  <c r="AW70" i="3"/>
  <c r="AV70" i="3"/>
  <c r="AC70" i="3"/>
  <c r="H70" i="3"/>
  <c r="G70" i="3"/>
  <c r="BL69" i="3"/>
  <c r="BK69" i="3"/>
  <c r="BJ69" i="3"/>
  <c r="BI69" i="3"/>
  <c r="BH69" i="3"/>
  <c r="BG69" i="3"/>
  <c r="BF69" i="3"/>
  <c r="BE69" i="3"/>
  <c r="BD69" i="3"/>
  <c r="BC69" i="3"/>
  <c r="BB69" i="3"/>
  <c r="BA69" i="3"/>
  <c r="AZ69" i="3"/>
  <c r="AX69" i="3"/>
  <c r="AW69" i="3"/>
  <c r="AV69" i="3"/>
  <c r="AC69" i="3"/>
  <c r="H69" i="3"/>
  <c r="G69" i="3"/>
  <c r="BL68" i="3"/>
  <c r="BK68" i="3"/>
  <c r="BJ68" i="3"/>
  <c r="BI68" i="3"/>
  <c r="BH68" i="3"/>
  <c r="BG68" i="3"/>
  <c r="BF68" i="3"/>
  <c r="BE68" i="3"/>
  <c r="BD68" i="3"/>
  <c r="BC68" i="3"/>
  <c r="BB68" i="3"/>
  <c r="BA68" i="3"/>
  <c r="AX68" i="3"/>
  <c r="AW68" i="3"/>
  <c r="AV68" i="3"/>
  <c r="AC68" i="3"/>
  <c r="H68" i="3"/>
  <c r="G68" i="3"/>
  <c r="BL67" i="3"/>
  <c r="BK67" i="3"/>
  <c r="BJ67" i="3"/>
  <c r="BI67" i="3"/>
  <c r="BH67" i="3"/>
  <c r="BG67" i="3"/>
  <c r="BF67" i="3"/>
  <c r="BE67" i="3"/>
  <c r="BD67" i="3"/>
  <c r="BC67" i="3"/>
  <c r="BB67" i="3"/>
  <c r="BA67" i="3"/>
  <c r="AZ67" i="3"/>
  <c r="AX67" i="3"/>
  <c r="AW67" i="3"/>
  <c r="AV67" i="3"/>
  <c r="AC67" i="3"/>
  <c r="H67" i="3"/>
  <c r="G67" i="3"/>
  <c r="BL66" i="3"/>
  <c r="BK66" i="3"/>
  <c r="BJ66" i="3"/>
  <c r="BI66" i="3"/>
  <c r="BH66" i="3"/>
  <c r="BG66" i="3"/>
  <c r="BF66" i="3"/>
  <c r="BE66" i="3"/>
  <c r="BD66" i="3"/>
  <c r="BC66" i="3"/>
  <c r="BB66" i="3"/>
  <c r="BA66" i="3"/>
  <c r="AX66" i="3"/>
  <c r="AW66" i="3"/>
  <c r="AV66" i="3"/>
  <c r="AC66" i="3"/>
  <c r="H66" i="3"/>
  <c r="G66" i="3"/>
  <c r="BL65" i="3"/>
  <c r="BK65" i="3"/>
  <c r="BJ65" i="3"/>
  <c r="BI65" i="3"/>
  <c r="BH65" i="3"/>
  <c r="BG65" i="3"/>
  <c r="BF65" i="3"/>
  <c r="BE65" i="3"/>
  <c r="BD65" i="3"/>
  <c r="BC65" i="3"/>
  <c r="BB65" i="3"/>
  <c r="BA65" i="3"/>
  <c r="AX65" i="3"/>
  <c r="AW65" i="3"/>
  <c r="AV65" i="3"/>
  <c r="AC65" i="3"/>
  <c r="H65" i="3"/>
  <c r="G65" i="3"/>
  <c r="BL64" i="3"/>
  <c r="BK64" i="3"/>
  <c r="BJ64" i="3"/>
  <c r="BI64" i="3"/>
  <c r="BH64" i="3"/>
  <c r="BG64" i="3"/>
  <c r="BF64" i="3"/>
  <c r="BE64" i="3"/>
  <c r="BD64" i="3"/>
  <c r="BC64" i="3"/>
  <c r="BB64" i="3"/>
  <c r="BA64" i="3"/>
  <c r="AZ64" i="3"/>
  <c r="AX64" i="3"/>
  <c r="AW64" i="3"/>
  <c r="AV64" i="3"/>
  <c r="AC64" i="3"/>
  <c r="H64" i="3"/>
  <c r="G64" i="3"/>
  <c r="BL63" i="3"/>
  <c r="BK63" i="3"/>
  <c r="BJ63" i="3"/>
  <c r="BI63" i="3"/>
  <c r="BH63" i="3"/>
  <c r="BG63" i="3"/>
  <c r="BF63" i="3"/>
  <c r="BE63" i="3"/>
  <c r="BD63" i="3"/>
  <c r="BC63" i="3"/>
  <c r="BB63" i="3"/>
  <c r="BA63" i="3"/>
  <c r="AX63" i="3"/>
  <c r="AW63" i="3"/>
  <c r="AV63" i="3"/>
  <c r="AC63" i="3"/>
  <c r="H63" i="3"/>
  <c r="G63" i="3"/>
  <c r="BL62" i="3"/>
  <c r="BK62" i="3"/>
  <c r="BJ62" i="3"/>
  <c r="BI62" i="3"/>
  <c r="BH62" i="3"/>
  <c r="BG62" i="3"/>
  <c r="BF62" i="3"/>
  <c r="BE62" i="3"/>
  <c r="BD62" i="3"/>
  <c r="BC62" i="3"/>
  <c r="BB62" i="3"/>
  <c r="BA62" i="3"/>
  <c r="AX62" i="3"/>
  <c r="AW62" i="3"/>
  <c r="AV62" i="3"/>
  <c r="AC62" i="3"/>
  <c r="H62" i="3"/>
  <c r="G62" i="3"/>
  <c r="BL61" i="3"/>
  <c r="BK61" i="3"/>
  <c r="BJ61" i="3"/>
  <c r="BI61" i="3"/>
  <c r="BH61" i="3"/>
  <c r="BG61" i="3"/>
  <c r="BF61" i="3"/>
  <c r="BE61" i="3"/>
  <c r="BD61" i="3"/>
  <c r="BC61" i="3"/>
  <c r="BB61" i="3"/>
  <c r="BA61" i="3"/>
  <c r="AZ61" i="3"/>
  <c r="AX61" i="3"/>
  <c r="AW61" i="3"/>
  <c r="AV61" i="3"/>
  <c r="AC61" i="3"/>
  <c r="H61" i="3"/>
  <c r="G61" i="3"/>
  <c r="BL60" i="3"/>
  <c r="BK60" i="3"/>
  <c r="BJ60" i="3"/>
  <c r="BI60" i="3"/>
  <c r="BH60" i="3"/>
  <c r="BG60" i="3"/>
  <c r="BF60" i="3"/>
  <c r="BE60" i="3"/>
  <c r="BD60" i="3"/>
  <c r="BC60" i="3"/>
  <c r="BB60" i="3"/>
  <c r="BA60" i="3"/>
  <c r="AZ60" i="3"/>
  <c r="AX60" i="3"/>
  <c r="AW60" i="3"/>
  <c r="AV60" i="3"/>
  <c r="AC60" i="3"/>
  <c r="H60" i="3"/>
  <c r="G60" i="3"/>
  <c r="BL59" i="3"/>
  <c r="BK59" i="3"/>
  <c r="BJ59" i="3"/>
  <c r="BI59" i="3"/>
  <c r="BH59" i="3"/>
  <c r="BG59" i="3"/>
  <c r="BF59" i="3"/>
  <c r="BE59" i="3"/>
  <c r="BD59" i="3"/>
  <c r="BC59" i="3"/>
  <c r="BB59" i="3"/>
  <c r="BA59" i="3"/>
  <c r="AX59" i="3"/>
  <c r="AW59" i="3"/>
  <c r="AV59" i="3"/>
  <c r="AC59" i="3"/>
  <c r="H59" i="3"/>
  <c r="G59" i="3"/>
  <c r="BL58" i="3"/>
  <c r="BK58" i="3"/>
  <c r="BJ58" i="3"/>
  <c r="BI58" i="3"/>
  <c r="BH58" i="3"/>
  <c r="BG58" i="3"/>
  <c r="BF58" i="3"/>
  <c r="BE58" i="3"/>
  <c r="BD58" i="3"/>
  <c r="BC58" i="3"/>
  <c r="BB58" i="3"/>
  <c r="BA58" i="3"/>
  <c r="AZ58" i="3"/>
  <c r="AX58" i="3"/>
  <c r="AW58" i="3"/>
  <c r="AV58" i="3"/>
  <c r="AC58" i="3"/>
  <c r="H58" i="3"/>
  <c r="G58" i="3"/>
  <c r="BL57" i="3"/>
  <c r="BK57" i="3"/>
  <c r="BJ57" i="3"/>
  <c r="BI57" i="3"/>
  <c r="BH57" i="3"/>
  <c r="BG57" i="3"/>
  <c r="BF57" i="3"/>
  <c r="BE57" i="3"/>
  <c r="BD57" i="3"/>
  <c r="BC57" i="3"/>
  <c r="BB57" i="3"/>
  <c r="BA57" i="3"/>
  <c r="AX57" i="3"/>
  <c r="AW57" i="3"/>
  <c r="AV57" i="3"/>
  <c r="AC57" i="3"/>
  <c r="H57" i="3"/>
  <c r="G57" i="3"/>
  <c r="BL56" i="3"/>
  <c r="BK56" i="3"/>
  <c r="BJ56" i="3"/>
  <c r="BI56" i="3"/>
  <c r="BH56" i="3"/>
  <c r="BG56" i="3"/>
  <c r="BF56" i="3"/>
  <c r="BE56" i="3"/>
  <c r="BD56" i="3"/>
  <c r="BC56" i="3"/>
  <c r="BB56" i="3"/>
  <c r="BA56" i="3"/>
  <c r="AX56" i="3"/>
  <c r="AW56" i="3"/>
  <c r="AV56" i="3"/>
  <c r="AC56" i="3"/>
  <c r="H56" i="3"/>
  <c r="G56" i="3"/>
  <c r="BL55" i="3"/>
  <c r="BK55" i="3"/>
  <c r="BJ55" i="3"/>
  <c r="BI55" i="3"/>
  <c r="BH55" i="3"/>
  <c r="BG55" i="3"/>
  <c r="BF55" i="3"/>
  <c r="BE55" i="3"/>
  <c r="BD55" i="3"/>
  <c r="BC55" i="3"/>
  <c r="BB55" i="3"/>
  <c r="BA55" i="3"/>
  <c r="AX55" i="3"/>
  <c r="AW55" i="3"/>
  <c r="AV55" i="3"/>
  <c r="AC55" i="3"/>
  <c r="H55" i="3"/>
  <c r="G55" i="3"/>
  <c r="BL54" i="3"/>
  <c r="BK54" i="3"/>
  <c r="BJ54" i="3"/>
  <c r="BI54" i="3"/>
  <c r="BH54" i="3"/>
  <c r="BG54" i="3"/>
  <c r="BF54" i="3"/>
  <c r="BE54" i="3"/>
  <c r="BD54" i="3"/>
  <c r="BC54" i="3"/>
  <c r="BB54" i="3"/>
  <c r="BA54" i="3"/>
  <c r="AZ54" i="3"/>
  <c r="AX54" i="3"/>
  <c r="AW54" i="3"/>
  <c r="AV54" i="3"/>
  <c r="AC54" i="3"/>
  <c r="H54" i="3"/>
  <c r="G54" i="3"/>
  <c r="BL53" i="3"/>
  <c r="BK53" i="3"/>
  <c r="BJ53" i="3"/>
  <c r="BI53" i="3"/>
  <c r="BH53" i="3"/>
  <c r="BG53" i="3"/>
  <c r="BF53" i="3"/>
  <c r="BE53" i="3"/>
  <c r="BD53" i="3"/>
  <c r="BC53" i="3"/>
  <c r="BB53" i="3"/>
  <c r="BA53" i="3"/>
  <c r="AZ53" i="3"/>
  <c r="AX53" i="3"/>
  <c r="AW53" i="3"/>
  <c r="AV53" i="3"/>
  <c r="AC53" i="3"/>
  <c r="H53" i="3"/>
  <c r="G53" i="3"/>
  <c r="BL52" i="3"/>
  <c r="BK52" i="3"/>
  <c r="BJ52" i="3"/>
  <c r="BI52" i="3"/>
  <c r="BH52" i="3"/>
  <c r="BG52" i="3"/>
  <c r="BF52" i="3"/>
  <c r="BE52" i="3"/>
  <c r="BD52" i="3"/>
  <c r="BC52" i="3"/>
  <c r="BB52" i="3"/>
  <c r="BA52" i="3"/>
  <c r="AZ52" i="3"/>
  <c r="AX52" i="3"/>
  <c r="AW52" i="3"/>
  <c r="AV52" i="3"/>
  <c r="AC52" i="3"/>
  <c r="H52" i="3"/>
  <c r="G52" i="3"/>
  <c r="BL51" i="3"/>
  <c r="BK51" i="3"/>
  <c r="BJ51" i="3"/>
  <c r="BI51" i="3"/>
  <c r="BH51" i="3"/>
  <c r="BG51" i="3"/>
  <c r="BF51" i="3"/>
  <c r="BE51" i="3"/>
  <c r="BD51" i="3"/>
  <c r="BC51" i="3"/>
  <c r="BB51" i="3"/>
  <c r="BA51" i="3"/>
  <c r="AX51" i="3"/>
  <c r="AW51" i="3"/>
  <c r="AV51" i="3"/>
  <c r="AC51" i="3"/>
  <c r="H51" i="3"/>
  <c r="G51" i="3"/>
  <c r="BL50" i="3"/>
  <c r="BK50" i="3"/>
  <c r="BJ50" i="3"/>
  <c r="BI50" i="3"/>
  <c r="BH50" i="3"/>
  <c r="BG50" i="3"/>
  <c r="BF50" i="3"/>
  <c r="BE50" i="3"/>
  <c r="BD50" i="3"/>
  <c r="BC50" i="3"/>
  <c r="BB50" i="3"/>
  <c r="BA50" i="3"/>
  <c r="AZ50" i="3"/>
  <c r="AX50" i="3"/>
  <c r="AW50" i="3"/>
  <c r="AV50" i="3"/>
  <c r="AC50" i="3"/>
  <c r="H50" i="3"/>
  <c r="G50" i="3"/>
  <c r="BL49" i="3"/>
  <c r="BK49" i="3"/>
  <c r="BJ49" i="3"/>
  <c r="BI49" i="3"/>
  <c r="BH49" i="3"/>
  <c r="BG49" i="3"/>
  <c r="BF49" i="3"/>
  <c r="BE49" i="3"/>
  <c r="BD49" i="3"/>
  <c r="BC49" i="3"/>
  <c r="BB49" i="3"/>
  <c r="BA49" i="3"/>
  <c r="AZ49" i="3"/>
  <c r="AX49" i="3"/>
  <c r="AW49" i="3"/>
  <c r="AV49" i="3"/>
  <c r="AC49" i="3"/>
  <c r="H49" i="3"/>
  <c r="G49" i="3"/>
  <c r="BL48" i="3"/>
  <c r="BK48" i="3"/>
  <c r="BJ48" i="3"/>
  <c r="BI48" i="3"/>
  <c r="BH48" i="3"/>
  <c r="BG48" i="3"/>
  <c r="BF48" i="3"/>
  <c r="BE48" i="3"/>
  <c r="BD48" i="3"/>
  <c r="BC48" i="3"/>
  <c r="BB48" i="3"/>
  <c r="BA48" i="3"/>
  <c r="AX48" i="3"/>
  <c r="AW48" i="3"/>
  <c r="AV48" i="3"/>
  <c r="AC48" i="3"/>
  <c r="H48" i="3"/>
  <c r="G48" i="3"/>
  <c r="BL47" i="3"/>
  <c r="BK47" i="3"/>
  <c r="BJ47" i="3"/>
  <c r="BI47" i="3"/>
  <c r="BH47" i="3"/>
  <c r="BG47" i="3"/>
  <c r="BF47" i="3"/>
  <c r="BE47" i="3"/>
  <c r="BD47" i="3"/>
  <c r="BC47" i="3"/>
  <c r="BB47" i="3"/>
  <c r="BA47" i="3"/>
  <c r="AX47" i="3"/>
  <c r="AW47" i="3"/>
  <c r="AV47" i="3"/>
  <c r="AC47" i="3"/>
  <c r="H47" i="3"/>
  <c r="G47" i="3"/>
  <c r="BL46" i="3"/>
  <c r="BK46" i="3"/>
  <c r="BJ46" i="3"/>
  <c r="BI46" i="3"/>
  <c r="BH46" i="3"/>
  <c r="BG46" i="3"/>
  <c r="BF46" i="3"/>
  <c r="BE46" i="3"/>
  <c r="BD46" i="3"/>
  <c r="BC46" i="3"/>
  <c r="BB46" i="3"/>
  <c r="BA46" i="3"/>
  <c r="AX46" i="3"/>
  <c r="AW46" i="3"/>
  <c r="AV46" i="3"/>
  <c r="AC46" i="3"/>
  <c r="H46" i="3"/>
  <c r="G46" i="3"/>
  <c r="BL45" i="3"/>
  <c r="BK45" i="3"/>
  <c r="BJ45" i="3"/>
  <c r="BI45" i="3"/>
  <c r="BH45" i="3"/>
  <c r="BG45" i="3"/>
  <c r="BF45" i="3"/>
  <c r="BE45" i="3"/>
  <c r="BD45" i="3"/>
  <c r="BC45" i="3"/>
  <c r="BB45" i="3"/>
  <c r="BA45" i="3"/>
  <c r="AZ45" i="3"/>
  <c r="AX45" i="3"/>
  <c r="AW45" i="3"/>
  <c r="AV45" i="3"/>
  <c r="AC45" i="3"/>
  <c r="H45" i="3"/>
  <c r="G45" i="3"/>
  <c r="BL44" i="3"/>
  <c r="BK44" i="3"/>
  <c r="BJ44" i="3"/>
  <c r="BI44" i="3"/>
  <c r="BH44" i="3"/>
  <c r="BG44" i="3"/>
  <c r="BF44" i="3"/>
  <c r="BE44" i="3"/>
  <c r="BD44" i="3"/>
  <c r="BC44" i="3"/>
  <c r="BB44" i="3"/>
  <c r="BA44" i="3"/>
  <c r="AZ44" i="3"/>
  <c r="AX44" i="3"/>
  <c r="AW44" i="3"/>
  <c r="AV44" i="3"/>
  <c r="AC44" i="3"/>
  <c r="H44" i="3"/>
  <c r="G44" i="3"/>
  <c r="BL43" i="3"/>
  <c r="BK43" i="3"/>
  <c r="BJ43" i="3"/>
  <c r="BI43" i="3"/>
  <c r="BH43" i="3"/>
  <c r="BG43" i="3"/>
  <c r="BF43" i="3"/>
  <c r="BE43" i="3"/>
  <c r="BD43" i="3"/>
  <c r="BC43" i="3"/>
  <c r="BB43" i="3"/>
  <c r="BA43" i="3"/>
  <c r="AX43" i="3"/>
  <c r="AW43" i="3"/>
  <c r="AV43" i="3"/>
  <c r="AC43" i="3"/>
  <c r="H43" i="3"/>
  <c r="G43" i="3"/>
  <c r="BL42" i="3"/>
  <c r="BK42" i="3"/>
  <c r="BJ42" i="3"/>
  <c r="BI42" i="3"/>
  <c r="BH42" i="3"/>
  <c r="BG42" i="3"/>
  <c r="BF42" i="3"/>
  <c r="BE42" i="3"/>
  <c r="BD42" i="3"/>
  <c r="BC42" i="3"/>
  <c r="BB42" i="3"/>
  <c r="BA42" i="3"/>
  <c r="AZ42" i="3"/>
  <c r="AX42" i="3"/>
  <c r="AW42" i="3"/>
  <c r="AV42" i="3"/>
  <c r="AC42" i="3"/>
  <c r="H42" i="3"/>
  <c r="G42" i="3"/>
  <c r="BL41" i="3"/>
  <c r="BK41" i="3"/>
  <c r="BJ41" i="3"/>
  <c r="BI41" i="3"/>
  <c r="BH41" i="3"/>
  <c r="BG41" i="3"/>
  <c r="BF41" i="3"/>
  <c r="BE41" i="3"/>
  <c r="BD41" i="3"/>
  <c r="BC41" i="3"/>
  <c r="BB41" i="3"/>
  <c r="BA41" i="3"/>
  <c r="AX41" i="3"/>
  <c r="AW41" i="3"/>
  <c r="AV41" i="3"/>
  <c r="AC41" i="3"/>
  <c r="H41" i="3"/>
  <c r="G41" i="3"/>
  <c r="BL40" i="3"/>
  <c r="BK40" i="3"/>
  <c r="BJ40" i="3"/>
  <c r="BI40" i="3"/>
  <c r="BH40" i="3"/>
  <c r="BG40" i="3"/>
  <c r="BF40" i="3"/>
  <c r="BE40" i="3"/>
  <c r="BD40" i="3"/>
  <c r="BC40" i="3"/>
  <c r="BB40" i="3"/>
  <c r="BA40" i="3"/>
  <c r="AX40" i="3"/>
  <c r="AW40" i="3"/>
  <c r="AV40" i="3"/>
  <c r="AC40" i="3"/>
  <c r="H40" i="3"/>
  <c r="G40" i="3"/>
  <c r="BL39" i="3"/>
  <c r="BK39" i="3"/>
  <c r="BJ39" i="3"/>
  <c r="BI39" i="3"/>
  <c r="BH39" i="3"/>
  <c r="BG39" i="3"/>
  <c r="BF39" i="3"/>
  <c r="BE39" i="3"/>
  <c r="BD39" i="3"/>
  <c r="BC39" i="3"/>
  <c r="BB39" i="3"/>
  <c r="BA39" i="3"/>
  <c r="AX39" i="3"/>
  <c r="AW39" i="3"/>
  <c r="AV39" i="3"/>
  <c r="AC39" i="3"/>
  <c r="H39" i="3"/>
  <c r="G39" i="3"/>
  <c r="BL38" i="3"/>
  <c r="BK38" i="3"/>
  <c r="BJ38" i="3"/>
  <c r="BI38" i="3"/>
  <c r="BH38" i="3"/>
  <c r="BG38" i="3"/>
  <c r="BF38" i="3"/>
  <c r="BE38" i="3"/>
  <c r="BD38" i="3"/>
  <c r="BC38" i="3"/>
  <c r="BB38" i="3"/>
  <c r="BA38" i="3"/>
  <c r="AZ38" i="3"/>
  <c r="AX38" i="3"/>
  <c r="AW38" i="3"/>
  <c r="AV38" i="3"/>
  <c r="AC38" i="3"/>
  <c r="H38" i="3"/>
  <c r="G38" i="3"/>
  <c r="BL37" i="3"/>
  <c r="BK37" i="3"/>
  <c r="BJ37" i="3"/>
  <c r="BI37" i="3"/>
  <c r="BH37" i="3"/>
  <c r="BG37" i="3"/>
  <c r="BF37" i="3"/>
  <c r="BE37" i="3"/>
  <c r="BD37" i="3"/>
  <c r="BC37" i="3"/>
  <c r="BB37" i="3"/>
  <c r="BA37" i="3"/>
  <c r="AZ37" i="3"/>
  <c r="AX37" i="3"/>
  <c r="AW37" i="3"/>
  <c r="AV37" i="3"/>
  <c r="AC37" i="3"/>
  <c r="H37" i="3"/>
  <c r="G37" i="3"/>
  <c r="BL36" i="3"/>
  <c r="BK36" i="3"/>
  <c r="BJ36" i="3"/>
  <c r="BI36" i="3"/>
  <c r="BH36" i="3"/>
  <c r="BG36" i="3"/>
  <c r="BF36" i="3"/>
  <c r="BE36" i="3"/>
  <c r="BD36" i="3"/>
  <c r="BC36" i="3"/>
  <c r="BB36" i="3"/>
  <c r="BA36" i="3"/>
  <c r="AZ36" i="3"/>
  <c r="AX36" i="3"/>
  <c r="AW36" i="3"/>
  <c r="AV36" i="3"/>
  <c r="AC36" i="3"/>
  <c r="H36" i="3"/>
  <c r="G36" i="3"/>
  <c r="BL35" i="3"/>
  <c r="BK35" i="3"/>
  <c r="BJ35" i="3"/>
  <c r="BI35" i="3"/>
  <c r="BH35" i="3"/>
  <c r="BG35" i="3"/>
  <c r="BF35" i="3"/>
  <c r="BE35" i="3"/>
  <c r="BD35" i="3"/>
  <c r="BC35" i="3"/>
  <c r="BB35" i="3"/>
  <c r="BA35" i="3"/>
  <c r="AX35" i="3"/>
  <c r="AW35" i="3"/>
  <c r="AV35" i="3"/>
  <c r="AC35" i="3"/>
  <c r="H35" i="3"/>
  <c r="G35" i="3"/>
  <c r="BL34" i="3"/>
  <c r="BK34" i="3"/>
  <c r="BJ34" i="3"/>
  <c r="BI34" i="3"/>
  <c r="BH34" i="3"/>
  <c r="BG34" i="3"/>
  <c r="BF34" i="3"/>
  <c r="BE34" i="3"/>
  <c r="BD34" i="3"/>
  <c r="BC34" i="3"/>
  <c r="BB34" i="3"/>
  <c r="BA34" i="3"/>
  <c r="AZ34" i="3"/>
  <c r="AX34" i="3"/>
  <c r="AW34" i="3"/>
  <c r="AV34" i="3"/>
  <c r="AC34" i="3"/>
  <c r="H34" i="3"/>
  <c r="G34" i="3"/>
  <c r="BL33" i="3"/>
  <c r="BK33" i="3"/>
  <c r="BJ33" i="3"/>
  <c r="BI33" i="3"/>
  <c r="BH33" i="3"/>
  <c r="BG33" i="3"/>
  <c r="BF33" i="3"/>
  <c r="BE33" i="3"/>
  <c r="BD33" i="3"/>
  <c r="BC33" i="3"/>
  <c r="BB33" i="3"/>
  <c r="BA33" i="3"/>
  <c r="AZ33" i="3"/>
  <c r="AX33" i="3"/>
  <c r="AW33" i="3"/>
  <c r="AV33" i="3"/>
  <c r="AC33" i="3"/>
  <c r="H33" i="3"/>
  <c r="G33" i="3"/>
  <c r="BL32" i="3"/>
  <c r="BK32" i="3"/>
  <c r="BJ32" i="3"/>
  <c r="BI32" i="3"/>
  <c r="BH32" i="3"/>
  <c r="BG32" i="3"/>
  <c r="BF32" i="3"/>
  <c r="BE32" i="3"/>
  <c r="BD32" i="3"/>
  <c r="BC32" i="3"/>
  <c r="BB32" i="3"/>
  <c r="BA32" i="3"/>
  <c r="AX32" i="3"/>
  <c r="AW32" i="3"/>
  <c r="AV32" i="3"/>
  <c r="AC32" i="3"/>
  <c r="H32" i="3"/>
  <c r="G32" i="3"/>
  <c r="BL31" i="3"/>
  <c r="BK31" i="3"/>
  <c r="BJ31" i="3"/>
  <c r="BI31" i="3"/>
  <c r="BH31" i="3"/>
  <c r="BG31" i="3"/>
  <c r="BF31" i="3"/>
  <c r="BE31" i="3"/>
  <c r="BD31" i="3"/>
  <c r="BC31" i="3"/>
  <c r="BB31" i="3"/>
  <c r="BA31" i="3"/>
  <c r="AX31" i="3"/>
  <c r="AW31" i="3"/>
  <c r="AV31" i="3"/>
  <c r="AC31" i="3"/>
  <c r="H31" i="3"/>
  <c r="G31" i="3"/>
  <c r="BL30" i="3"/>
  <c r="BK30" i="3"/>
  <c r="BJ30" i="3"/>
  <c r="BI30" i="3"/>
  <c r="BH30" i="3"/>
  <c r="BG30" i="3"/>
  <c r="BF30" i="3"/>
  <c r="BE30" i="3"/>
  <c r="BD30" i="3"/>
  <c r="BC30" i="3"/>
  <c r="BB30" i="3"/>
  <c r="BA30" i="3"/>
  <c r="AX30" i="3"/>
  <c r="AW30" i="3"/>
  <c r="AV30" i="3"/>
  <c r="AC30" i="3"/>
  <c r="H30" i="3"/>
  <c r="G30" i="3"/>
  <c r="BL29" i="3"/>
  <c r="BK29" i="3"/>
  <c r="BJ29" i="3"/>
  <c r="BI29" i="3"/>
  <c r="BH29" i="3"/>
  <c r="BG29" i="3"/>
  <c r="BF29" i="3"/>
  <c r="BE29" i="3"/>
  <c r="BD29" i="3"/>
  <c r="BC29" i="3"/>
  <c r="BB29" i="3"/>
  <c r="BA29" i="3"/>
  <c r="AZ29" i="3"/>
  <c r="AX29" i="3"/>
  <c r="AW29" i="3"/>
  <c r="AV29" i="3"/>
  <c r="AC29" i="3"/>
  <c r="H29" i="3"/>
  <c r="G29" i="3"/>
  <c r="BL28" i="3"/>
  <c r="BK28" i="3"/>
  <c r="BJ28" i="3"/>
  <c r="BI28" i="3"/>
  <c r="BH28" i="3"/>
  <c r="BG28" i="3"/>
  <c r="BF28" i="3"/>
  <c r="BE28" i="3"/>
  <c r="BD28" i="3"/>
  <c r="BC28" i="3"/>
  <c r="BB28" i="3"/>
  <c r="BA28" i="3"/>
  <c r="AZ28" i="3"/>
  <c r="AX28" i="3"/>
  <c r="AW28" i="3"/>
  <c r="AV28" i="3"/>
  <c r="AC28" i="3"/>
  <c r="H28" i="3"/>
  <c r="G28" i="3"/>
  <c r="BL27" i="3"/>
  <c r="BK27" i="3"/>
  <c r="BJ27" i="3"/>
  <c r="BI27" i="3"/>
  <c r="BH27" i="3"/>
  <c r="BG27" i="3"/>
  <c r="BF27" i="3"/>
  <c r="BE27" i="3"/>
  <c r="BD27" i="3"/>
  <c r="BC27" i="3"/>
  <c r="BB27" i="3"/>
  <c r="BA27" i="3"/>
  <c r="AX27" i="3"/>
  <c r="AW27" i="3"/>
  <c r="AV27" i="3"/>
  <c r="AC27" i="3"/>
  <c r="H27" i="3"/>
  <c r="G27" i="3"/>
  <c r="BL26" i="3"/>
  <c r="BK26" i="3"/>
  <c r="BJ26" i="3"/>
  <c r="BI26" i="3"/>
  <c r="BH26" i="3"/>
  <c r="BG26" i="3"/>
  <c r="BF26" i="3"/>
  <c r="BE26" i="3"/>
  <c r="BD26" i="3"/>
  <c r="BC26" i="3"/>
  <c r="BB26" i="3"/>
  <c r="BA26" i="3"/>
  <c r="AZ26" i="3"/>
  <c r="AX26" i="3"/>
  <c r="AW26" i="3"/>
  <c r="AV26" i="3"/>
  <c r="AC26" i="3"/>
  <c r="H26" i="3"/>
  <c r="G26" i="3"/>
  <c r="BL25" i="3"/>
  <c r="BK25" i="3"/>
  <c r="BJ25" i="3"/>
  <c r="BI25" i="3"/>
  <c r="BH25" i="3"/>
  <c r="BG25" i="3"/>
  <c r="BF25" i="3"/>
  <c r="BE25" i="3"/>
  <c r="BD25" i="3"/>
  <c r="BC25" i="3"/>
  <c r="BB25" i="3"/>
  <c r="BA25" i="3"/>
  <c r="AX25" i="3"/>
  <c r="AW25" i="3"/>
  <c r="AV25" i="3"/>
  <c r="AC25" i="3"/>
  <c r="H25" i="3"/>
  <c r="G25" i="3"/>
  <c r="BL24" i="3"/>
  <c r="BK24" i="3"/>
  <c r="BJ24" i="3"/>
  <c r="BI24" i="3"/>
  <c r="BH24" i="3"/>
  <c r="BG24" i="3"/>
  <c r="BF24" i="3"/>
  <c r="BE24" i="3"/>
  <c r="BD24" i="3"/>
  <c r="BC24" i="3"/>
  <c r="BB24" i="3"/>
  <c r="BA24" i="3"/>
  <c r="AX24" i="3"/>
  <c r="AW24" i="3"/>
  <c r="AV24" i="3"/>
  <c r="AC24" i="3"/>
  <c r="H24" i="3"/>
  <c r="G24" i="3"/>
  <c r="BL23" i="3"/>
  <c r="BK23" i="3"/>
  <c r="BJ23" i="3"/>
  <c r="BI23" i="3"/>
  <c r="BH23" i="3"/>
  <c r="BG23" i="3"/>
  <c r="BF23" i="3"/>
  <c r="BE23" i="3"/>
  <c r="BD23" i="3"/>
  <c r="BC23" i="3"/>
  <c r="BB23" i="3"/>
  <c r="BA23" i="3"/>
  <c r="AX23" i="3"/>
  <c r="AW23" i="3"/>
  <c r="AV23" i="3"/>
  <c r="AC23" i="3"/>
  <c r="H23" i="3"/>
  <c r="G23" i="3"/>
  <c r="BL22" i="3"/>
  <c r="BK22" i="3"/>
  <c r="BJ22" i="3"/>
  <c r="BI22" i="3"/>
  <c r="BH22" i="3"/>
  <c r="BG22" i="3"/>
  <c r="BF22" i="3"/>
  <c r="BE22" i="3"/>
  <c r="BD22" i="3"/>
  <c r="BC22" i="3"/>
  <c r="BB22" i="3"/>
  <c r="BA22" i="3"/>
  <c r="AZ22" i="3"/>
  <c r="AX22" i="3"/>
  <c r="AW22" i="3"/>
  <c r="AV22" i="3"/>
  <c r="AC22" i="3"/>
  <c r="H22" i="3"/>
  <c r="G22" i="3"/>
  <c r="BL21" i="3"/>
  <c r="BK21" i="3"/>
  <c r="BJ21" i="3"/>
  <c r="BI21" i="3"/>
  <c r="BH21" i="3"/>
  <c r="BG21" i="3"/>
  <c r="BF21" i="3"/>
  <c r="BE21" i="3"/>
  <c r="BD21" i="3"/>
  <c r="BC21" i="3"/>
  <c r="BB21" i="3"/>
  <c r="BA21" i="3"/>
  <c r="AZ21" i="3"/>
  <c r="AX21" i="3"/>
  <c r="AW21" i="3"/>
  <c r="AV21" i="3"/>
  <c r="AC21" i="3"/>
  <c r="H21" i="3"/>
  <c r="G21" i="3"/>
  <c r="BL204" i="3"/>
  <c r="BK204" i="3"/>
  <c r="BJ204" i="3"/>
  <c r="BI204" i="3"/>
  <c r="BH204" i="3"/>
  <c r="BG204" i="3"/>
  <c r="BF204" i="3"/>
  <c r="BE204" i="3"/>
  <c r="BD204" i="3"/>
  <c r="BC204" i="3"/>
  <c r="BB204" i="3"/>
  <c r="BA204" i="3"/>
  <c r="AZ204" i="3"/>
  <c r="AX204" i="3"/>
  <c r="AW204" i="3"/>
  <c r="AV204" i="3"/>
  <c r="AC204" i="3"/>
  <c r="H204" i="3"/>
  <c r="G204" i="3"/>
  <c r="BL203" i="3"/>
  <c r="BK203" i="3"/>
  <c r="BJ203" i="3"/>
  <c r="BI203" i="3"/>
  <c r="BH203" i="3"/>
  <c r="BG203" i="3"/>
  <c r="BF203" i="3"/>
  <c r="BE203" i="3"/>
  <c r="BD203" i="3"/>
  <c r="BC203" i="3"/>
  <c r="BB203" i="3"/>
  <c r="BA203" i="3"/>
  <c r="AX203" i="3"/>
  <c r="AW203" i="3"/>
  <c r="AV203" i="3"/>
  <c r="AC203" i="3"/>
  <c r="H203" i="3"/>
  <c r="G203" i="3"/>
  <c r="BL202" i="3"/>
  <c r="BK202" i="3"/>
  <c r="BJ202" i="3"/>
  <c r="BI202" i="3"/>
  <c r="BH202" i="3"/>
  <c r="BG202" i="3"/>
  <c r="BF202" i="3"/>
  <c r="BE202" i="3"/>
  <c r="BD202" i="3"/>
  <c r="BC202" i="3"/>
  <c r="BB202" i="3"/>
  <c r="BA202" i="3"/>
  <c r="AZ202" i="3"/>
  <c r="AX202" i="3"/>
  <c r="AW202" i="3"/>
  <c r="AV202" i="3"/>
  <c r="AC202" i="3"/>
  <c r="H202" i="3"/>
  <c r="G202" i="3"/>
  <c r="BK201" i="3"/>
  <c r="BJ201" i="3"/>
  <c r="BI201" i="3"/>
  <c r="BH201" i="3"/>
  <c r="BG201" i="3"/>
  <c r="BF201" i="3"/>
  <c r="BE201" i="3"/>
  <c r="BD201" i="3"/>
  <c r="BC201" i="3"/>
  <c r="BB201" i="3"/>
  <c r="BA201" i="3"/>
  <c r="AX201" i="3"/>
  <c r="AW201" i="3"/>
  <c r="AV201" i="3"/>
  <c r="AC201" i="3"/>
  <c r="H201" i="3"/>
  <c r="G201" i="3"/>
  <c r="BL200" i="3"/>
  <c r="BK200" i="3"/>
  <c r="BJ200" i="3"/>
  <c r="BI200" i="3"/>
  <c r="BH200" i="3"/>
  <c r="BG200" i="3"/>
  <c r="BF200" i="3"/>
  <c r="BE200" i="3"/>
  <c r="BD200" i="3"/>
  <c r="BC200" i="3"/>
  <c r="BB200" i="3"/>
  <c r="AX200" i="3"/>
  <c r="AW200" i="3"/>
  <c r="AV200" i="3"/>
  <c r="AC200" i="3"/>
  <c r="H200" i="3"/>
  <c r="G200" i="3"/>
  <c r="BL199" i="3"/>
  <c r="BK199" i="3"/>
  <c r="BJ199" i="3"/>
  <c r="BI199" i="3"/>
  <c r="BH199" i="3"/>
  <c r="BG199" i="3"/>
  <c r="BF199" i="3"/>
  <c r="BE199" i="3"/>
  <c r="BD199" i="3"/>
  <c r="BC199" i="3"/>
  <c r="BB199" i="3"/>
  <c r="BA199" i="3"/>
  <c r="AX199" i="3"/>
  <c r="AW199" i="3"/>
  <c r="AV199" i="3"/>
  <c r="AC199" i="3"/>
  <c r="H199" i="3"/>
  <c r="G199" i="3"/>
  <c r="BL198" i="3"/>
  <c r="BK198" i="3"/>
  <c r="BJ198" i="3"/>
  <c r="BI198" i="3"/>
  <c r="BH198" i="3"/>
  <c r="BG198" i="3"/>
  <c r="BF198" i="3"/>
  <c r="BE198" i="3"/>
  <c r="BD198" i="3"/>
  <c r="BC198" i="3"/>
  <c r="BB198" i="3"/>
  <c r="BA198" i="3"/>
  <c r="AZ198" i="3"/>
  <c r="AX198" i="3"/>
  <c r="AW198" i="3"/>
  <c r="AV198" i="3"/>
  <c r="AC198" i="3"/>
  <c r="H198" i="3"/>
  <c r="BK197" i="3"/>
  <c r="BJ197" i="3"/>
  <c r="BI197" i="3"/>
  <c r="BH197" i="3"/>
  <c r="BG197" i="3"/>
  <c r="BF197" i="3"/>
  <c r="BE197" i="3"/>
  <c r="BD197" i="3"/>
  <c r="BC197" i="3"/>
  <c r="BB197" i="3"/>
  <c r="BA197" i="3"/>
  <c r="AX197" i="3"/>
  <c r="AW197" i="3"/>
  <c r="AV197" i="3"/>
  <c r="AC197" i="3"/>
  <c r="H197" i="3"/>
  <c r="G197" i="3"/>
  <c r="BL196" i="3"/>
  <c r="BK196" i="3"/>
  <c r="BJ196" i="3"/>
  <c r="BI196" i="3"/>
  <c r="BH196" i="3"/>
  <c r="BG196" i="3"/>
  <c r="BF196" i="3"/>
  <c r="BE196" i="3"/>
  <c r="BD196" i="3"/>
  <c r="BC196" i="3"/>
  <c r="BB196" i="3"/>
  <c r="AX196" i="3"/>
  <c r="AW196" i="3"/>
  <c r="AV196" i="3"/>
  <c r="AC196" i="3"/>
  <c r="H196" i="3"/>
  <c r="G196" i="3"/>
  <c r="BL195" i="3"/>
  <c r="BK195" i="3"/>
  <c r="BJ195" i="3"/>
  <c r="BI195" i="3"/>
  <c r="BH195" i="3"/>
  <c r="BG195" i="3"/>
  <c r="BF195" i="3"/>
  <c r="BE195" i="3"/>
  <c r="BD195" i="3"/>
  <c r="BC195" i="3"/>
  <c r="BB195" i="3"/>
  <c r="BA195" i="3"/>
  <c r="AX195" i="3"/>
  <c r="AW195" i="3"/>
  <c r="AV195" i="3"/>
  <c r="AC195" i="3"/>
  <c r="H195" i="3"/>
  <c r="G195" i="3"/>
  <c r="BL194" i="3"/>
  <c r="BK194" i="3"/>
  <c r="BJ194" i="3"/>
  <c r="BI194" i="3"/>
  <c r="BH194" i="3"/>
  <c r="BG194" i="3"/>
  <c r="BF194" i="3"/>
  <c r="BE194" i="3"/>
  <c r="BD194" i="3"/>
  <c r="BC194" i="3"/>
  <c r="BB194" i="3"/>
  <c r="BA194" i="3"/>
  <c r="AZ194" i="3"/>
  <c r="AX194" i="3"/>
  <c r="AW194" i="3"/>
  <c r="AV194" i="3"/>
  <c r="AC194" i="3"/>
  <c r="H194" i="3"/>
  <c r="BK193" i="3"/>
  <c r="BJ193" i="3"/>
  <c r="BI193" i="3"/>
  <c r="BH193" i="3"/>
  <c r="BG193" i="3"/>
  <c r="BF193" i="3"/>
  <c r="BE193" i="3"/>
  <c r="BD193" i="3"/>
  <c r="BC193" i="3"/>
  <c r="BB193" i="3"/>
  <c r="BA193" i="3"/>
  <c r="AX193" i="3"/>
  <c r="AW193" i="3"/>
  <c r="AV193" i="3"/>
  <c r="AC193" i="3"/>
  <c r="H193" i="3"/>
  <c r="G193" i="3"/>
  <c r="BL192" i="3"/>
  <c r="BK192" i="3"/>
  <c r="BJ192" i="3"/>
  <c r="BI192" i="3"/>
  <c r="BH192" i="3"/>
  <c r="BG192" i="3"/>
  <c r="BF192" i="3"/>
  <c r="BE192" i="3"/>
  <c r="BD192" i="3"/>
  <c r="BC192" i="3"/>
  <c r="BB192" i="3"/>
  <c r="AX192" i="3"/>
  <c r="AW192" i="3"/>
  <c r="AV192" i="3"/>
  <c r="AC192" i="3"/>
  <c r="H192" i="3"/>
  <c r="G192" i="3"/>
  <c r="BL191" i="3"/>
  <c r="BK191" i="3"/>
  <c r="BJ191" i="3"/>
  <c r="BI191" i="3"/>
  <c r="BH191" i="3"/>
  <c r="BG191" i="3"/>
  <c r="BF191" i="3"/>
  <c r="BE191" i="3"/>
  <c r="BD191" i="3"/>
  <c r="BC191" i="3"/>
  <c r="BB191" i="3"/>
  <c r="BA191" i="3"/>
  <c r="AX191" i="3"/>
  <c r="AW191" i="3"/>
  <c r="AV191" i="3"/>
  <c r="AC191" i="3"/>
  <c r="H191" i="3"/>
  <c r="G191" i="3"/>
  <c r="BL190" i="3"/>
  <c r="BK190" i="3"/>
  <c r="BJ190" i="3"/>
  <c r="BI190" i="3"/>
  <c r="BH190" i="3"/>
  <c r="BG190" i="3"/>
  <c r="BF190" i="3"/>
  <c r="BE190" i="3"/>
  <c r="BD190" i="3"/>
  <c r="BC190" i="3"/>
  <c r="BB190" i="3"/>
  <c r="BA190" i="3"/>
  <c r="AZ190" i="3"/>
  <c r="AX190" i="3"/>
  <c r="AW190" i="3"/>
  <c r="AV190" i="3"/>
  <c r="AC190" i="3"/>
  <c r="H190" i="3"/>
  <c r="BK189" i="3"/>
  <c r="BJ189" i="3"/>
  <c r="BI189" i="3"/>
  <c r="BH189" i="3"/>
  <c r="BG189" i="3"/>
  <c r="BF189" i="3"/>
  <c r="BE189" i="3"/>
  <c r="BD189" i="3"/>
  <c r="BC189" i="3"/>
  <c r="BB189" i="3"/>
  <c r="BA189" i="3"/>
  <c r="AX189" i="3"/>
  <c r="AW189" i="3"/>
  <c r="AV189" i="3"/>
  <c r="AC189" i="3"/>
  <c r="H189" i="3"/>
  <c r="G189" i="3"/>
  <c r="BL188" i="3"/>
  <c r="BK188" i="3"/>
  <c r="BJ188" i="3"/>
  <c r="BI188" i="3"/>
  <c r="BH188" i="3"/>
  <c r="BG188" i="3"/>
  <c r="BF188" i="3"/>
  <c r="BE188" i="3"/>
  <c r="BD188" i="3"/>
  <c r="BC188" i="3"/>
  <c r="BB188" i="3"/>
  <c r="AX188" i="3"/>
  <c r="AW188" i="3"/>
  <c r="AV188" i="3"/>
  <c r="AC188" i="3"/>
  <c r="H188" i="3"/>
  <c r="G188" i="3"/>
  <c r="BL187" i="3"/>
  <c r="BK187" i="3"/>
  <c r="BJ187" i="3"/>
  <c r="BI187" i="3"/>
  <c r="BH187" i="3"/>
  <c r="BG187" i="3"/>
  <c r="BF187" i="3"/>
  <c r="BE187" i="3"/>
  <c r="BD187" i="3"/>
  <c r="BC187" i="3"/>
  <c r="BB187" i="3"/>
  <c r="BA187" i="3"/>
  <c r="AX187" i="3"/>
  <c r="AW187" i="3"/>
  <c r="AV187" i="3"/>
  <c r="AC187" i="3"/>
  <c r="H187" i="3"/>
  <c r="G187" i="3"/>
  <c r="BL186" i="3"/>
  <c r="BK186" i="3"/>
  <c r="BJ186" i="3"/>
  <c r="BI186" i="3"/>
  <c r="BH186" i="3"/>
  <c r="BG186" i="3"/>
  <c r="BF186" i="3"/>
  <c r="BE186" i="3"/>
  <c r="BD186" i="3"/>
  <c r="BC186" i="3"/>
  <c r="BB186" i="3"/>
  <c r="BA186" i="3"/>
  <c r="AZ186" i="3"/>
  <c r="AX186" i="3"/>
  <c r="AW186" i="3"/>
  <c r="AV186" i="3"/>
  <c r="AC186" i="3"/>
  <c r="H186" i="3"/>
  <c r="BK185" i="3"/>
  <c r="BJ185" i="3"/>
  <c r="BI185" i="3"/>
  <c r="BH185" i="3"/>
  <c r="BG185" i="3"/>
  <c r="BF185" i="3"/>
  <c r="BE185" i="3"/>
  <c r="BD185" i="3"/>
  <c r="BC185" i="3"/>
  <c r="BB185" i="3"/>
  <c r="BA185" i="3"/>
  <c r="AX185" i="3"/>
  <c r="AW185" i="3"/>
  <c r="AV185" i="3"/>
  <c r="AC185" i="3"/>
  <c r="H185" i="3"/>
  <c r="G185" i="3"/>
  <c r="BL184" i="3"/>
  <c r="BK184" i="3"/>
  <c r="BJ184" i="3"/>
  <c r="BI184" i="3"/>
  <c r="BH184" i="3"/>
  <c r="BG184" i="3"/>
  <c r="BF184" i="3"/>
  <c r="BE184" i="3"/>
  <c r="BD184" i="3"/>
  <c r="BC184" i="3"/>
  <c r="BB184" i="3"/>
  <c r="AX184" i="3"/>
  <c r="AW184" i="3"/>
  <c r="AV184" i="3"/>
  <c r="AC184" i="3"/>
  <c r="H184" i="3"/>
  <c r="G184" i="3"/>
  <c r="BL183" i="3"/>
  <c r="BK183" i="3"/>
  <c r="BJ183" i="3"/>
  <c r="BI183" i="3"/>
  <c r="BH183" i="3"/>
  <c r="BG183" i="3"/>
  <c r="BF183" i="3"/>
  <c r="BE183" i="3"/>
  <c r="BD183" i="3"/>
  <c r="BC183" i="3"/>
  <c r="BB183" i="3"/>
  <c r="BA183" i="3"/>
  <c r="AX183" i="3"/>
  <c r="AW183" i="3"/>
  <c r="AV183" i="3"/>
  <c r="AC183" i="3"/>
  <c r="H183" i="3"/>
  <c r="G183" i="3"/>
  <c r="BL182" i="3"/>
  <c r="BK182" i="3"/>
  <c r="BJ182" i="3"/>
  <c r="BI182" i="3"/>
  <c r="BH182" i="3"/>
  <c r="BG182" i="3"/>
  <c r="BF182" i="3"/>
  <c r="BE182" i="3"/>
  <c r="BD182" i="3"/>
  <c r="BC182" i="3"/>
  <c r="BB182" i="3"/>
  <c r="BA182" i="3"/>
  <c r="AZ182" i="3"/>
  <c r="AX182" i="3"/>
  <c r="AW182" i="3"/>
  <c r="AV182" i="3"/>
  <c r="AC182" i="3"/>
  <c r="H182" i="3"/>
  <c r="BK181" i="3"/>
  <c r="BJ181" i="3"/>
  <c r="BI181" i="3"/>
  <c r="BH181" i="3"/>
  <c r="BG181" i="3"/>
  <c r="BF181" i="3"/>
  <c r="BE181" i="3"/>
  <c r="BD181" i="3"/>
  <c r="BC181" i="3"/>
  <c r="BB181" i="3"/>
  <c r="BA181" i="3"/>
  <c r="AX181" i="3"/>
  <c r="AW181" i="3"/>
  <c r="AV181" i="3"/>
  <c r="AC181" i="3"/>
  <c r="H181" i="3"/>
  <c r="G181" i="3"/>
  <c r="BL180" i="3"/>
  <c r="BK180" i="3"/>
  <c r="BJ180" i="3"/>
  <c r="BI180" i="3"/>
  <c r="BH180" i="3"/>
  <c r="BG180" i="3"/>
  <c r="BF180" i="3"/>
  <c r="BE180" i="3"/>
  <c r="BD180" i="3"/>
  <c r="BC180" i="3"/>
  <c r="BB180" i="3"/>
  <c r="BA180" i="3"/>
  <c r="AX180" i="3"/>
  <c r="AW180" i="3"/>
  <c r="AV180" i="3"/>
  <c r="AC180" i="3"/>
  <c r="H180" i="3"/>
  <c r="BK179" i="3"/>
  <c r="BJ179" i="3"/>
  <c r="BI179" i="3"/>
  <c r="BH179" i="3"/>
  <c r="BG179" i="3"/>
  <c r="BF179" i="3"/>
  <c r="BE179" i="3"/>
  <c r="BD179" i="3"/>
  <c r="BC179" i="3"/>
  <c r="BB179" i="3"/>
  <c r="BA179" i="3"/>
  <c r="AX179" i="3"/>
  <c r="AW179" i="3"/>
  <c r="AV179" i="3"/>
  <c r="AC179" i="3"/>
  <c r="H179" i="3"/>
  <c r="G179" i="3"/>
  <c r="BL178" i="3"/>
  <c r="BK178" i="3"/>
  <c r="BJ178" i="3"/>
  <c r="BI178" i="3"/>
  <c r="BH178" i="3"/>
  <c r="BG178" i="3"/>
  <c r="BF178" i="3"/>
  <c r="BE178" i="3"/>
  <c r="BD178" i="3"/>
  <c r="BC178" i="3"/>
  <c r="BB178" i="3"/>
  <c r="AX178" i="3"/>
  <c r="AW178" i="3"/>
  <c r="AV178" i="3"/>
  <c r="AC178" i="3"/>
  <c r="H178" i="3"/>
  <c r="G178" i="3"/>
  <c r="BL177" i="3"/>
  <c r="BK177" i="3"/>
  <c r="BJ177" i="3"/>
  <c r="BI177" i="3"/>
  <c r="BH177" i="3"/>
  <c r="BG177" i="3"/>
  <c r="BF177" i="3"/>
  <c r="BE177" i="3"/>
  <c r="BD177" i="3"/>
  <c r="BC177" i="3"/>
  <c r="BB177" i="3"/>
  <c r="BA177" i="3"/>
  <c r="AX177" i="3"/>
  <c r="AW177" i="3"/>
  <c r="AV177" i="3"/>
  <c r="AC177" i="3"/>
  <c r="H177" i="3"/>
  <c r="G177" i="3"/>
  <c r="BL176" i="3"/>
  <c r="BK176" i="3"/>
  <c r="BJ176" i="3"/>
  <c r="BI176" i="3"/>
  <c r="BH176" i="3"/>
  <c r="BG176" i="3"/>
  <c r="BF176" i="3"/>
  <c r="BE176" i="3"/>
  <c r="BD176" i="3"/>
  <c r="BC176" i="3"/>
  <c r="BB176" i="3"/>
  <c r="BA176" i="3"/>
  <c r="AZ176" i="3"/>
  <c r="AX176" i="3"/>
  <c r="AW176" i="3"/>
  <c r="AV176" i="3"/>
  <c r="AC176" i="3"/>
  <c r="H176" i="3"/>
  <c r="G176" i="3"/>
  <c r="BL175" i="3"/>
  <c r="BK175" i="3"/>
  <c r="BJ175" i="3"/>
  <c r="BI175" i="3"/>
  <c r="BH175" i="3"/>
  <c r="BG175" i="3"/>
  <c r="BF175" i="3"/>
  <c r="BE175" i="3"/>
  <c r="BD175" i="3"/>
  <c r="BC175" i="3"/>
  <c r="BB175" i="3"/>
  <c r="BA175" i="3"/>
  <c r="AZ175" i="3"/>
  <c r="AX175" i="3"/>
  <c r="AW175" i="3"/>
  <c r="AV175" i="3"/>
  <c r="AC175" i="3"/>
  <c r="H175" i="3"/>
  <c r="BK174" i="3"/>
  <c r="BJ174" i="3"/>
  <c r="BI174" i="3"/>
  <c r="BH174" i="3"/>
  <c r="BG174" i="3"/>
  <c r="BF174" i="3"/>
  <c r="BE174" i="3"/>
  <c r="BD174" i="3"/>
  <c r="BC174" i="3"/>
  <c r="BB174" i="3"/>
  <c r="BA174" i="3"/>
  <c r="AX174" i="3"/>
  <c r="AW174" i="3"/>
  <c r="AV174" i="3"/>
  <c r="AC174" i="3"/>
  <c r="H174" i="3"/>
  <c r="G174" i="3"/>
  <c r="BL173"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BA172" i="3"/>
  <c r="AZ172" i="3"/>
  <c r="AX172" i="3"/>
  <c r="AW172" i="3"/>
  <c r="AV172" i="3"/>
  <c r="AC172" i="3"/>
  <c r="H172" i="3"/>
  <c r="G172" i="3"/>
  <c r="BL171" i="3"/>
  <c r="BK171" i="3"/>
  <c r="BJ171" i="3"/>
  <c r="BI171" i="3"/>
  <c r="BH171" i="3"/>
  <c r="BG171" i="3"/>
  <c r="BF171" i="3"/>
  <c r="BE171" i="3"/>
  <c r="BD171" i="3"/>
  <c r="BC171" i="3"/>
  <c r="BB171" i="3"/>
  <c r="BA171" i="3"/>
  <c r="AZ171" i="3"/>
  <c r="AX171" i="3"/>
  <c r="AW171" i="3"/>
  <c r="AV171" i="3"/>
  <c r="AC171" i="3"/>
  <c r="H171" i="3"/>
  <c r="BK170" i="3"/>
  <c r="BJ170" i="3"/>
  <c r="BI170" i="3"/>
  <c r="BH170" i="3"/>
  <c r="BG170" i="3"/>
  <c r="BF170" i="3"/>
  <c r="BE170" i="3"/>
  <c r="BD170" i="3"/>
  <c r="BC170" i="3"/>
  <c r="BB170" i="3"/>
  <c r="BA170" i="3"/>
  <c r="AX170" i="3"/>
  <c r="AW170" i="3"/>
  <c r="AV170" i="3"/>
  <c r="AC170" i="3"/>
  <c r="H170" i="3"/>
  <c r="G170" i="3"/>
  <c r="BL169" i="3"/>
  <c r="BK169" i="3"/>
  <c r="BJ169" i="3"/>
  <c r="BI169" i="3"/>
  <c r="BH169" i="3"/>
  <c r="BG169" i="3"/>
  <c r="BF169" i="3"/>
  <c r="BE169" i="3"/>
  <c r="BD169" i="3"/>
  <c r="BC169" i="3"/>
  <c r="BB169" i="3"/>
  <c r="AX169" i="3"/>
  <c r="AW169" i="3"/>
  <c r="AV169" i="3"/>
  <c r="AC169" i="3"/>
  <c r="H169" i="3"/>
  <c r="G169" i="3"/>
  <c r="BL168" i="3"/>
  <c r="BK168" i="3"/>
  <c r="BJ168" i="3"/>
  <c r="BI168" i="3"/>
  <c r="BH168" i="3"/>
  <c r="BG168" i="3"/>
  <c r="BF168" i="3"/>
  <c r="BE168" i="3"/>
  <c r="BD168" i="3"/>
  <c r="BC168" i="3"/>
  <c r="BB168" i="3"/>
  <c r="BA168" i="3"/>
  <c r="AZ168" i="3"/>
  <c r="AX168" i="3"/>
  <c r="AW168" i="3"/>
  <c r="AV168" i="3"/>
  <c r="AC168" i="3"/>
  <c r="H168" i="3"/>
  <c r="G168" i="3"/>
  <c r="BL167" i="3"/>
  <c r="BK167" i="3"/>
  <c r="BJ167" i="3"/>
  <c r="BI167" i="3"/>
  <c r="BH167" i="3"/>
  <c r="BG167" i="3"/>
  <c r="BF167" i="3"/>
  <c r="BE167" i="3"/>
  <c r="BD167" i="3"/>
  <c r="BC167" i="3"/>
  <c r="BB167" i="3"/>
  <c r="BA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G164" i="3"/>
  <c r="BL163" i="3"/>
  <c r="BK163" i="3"/>
  <c r="BJ163" i="3"/>
  <c r="BI163" i="3"/>
  <c r="BH163" i="3"/>
  <c r="BG163" i="3"/>
  <c r="BF163" i="3"/>
  <c r="BE163" i="3"/>
  <c r="BD163" i="3"/>
  <c r="BC163" i="3"/>
  <c r="BB163" i="3"/>
  <c r="BA163" i="3"/>
  <c r="AZ163" i="3"/>
  <c r="AX163" i="3"/>
  <c r="AW163" i="3"/>
  <c r="AV163" i="3"/>
  <c r="AC163" i="3"/>
  <c r="H163" i="3"/>
  <c r="BK162" i="3"/>
  <c r="BJ162" i="3"/>
  <c r="BI162" i="3"/>
  <c r="BH162" i="3"/>
  <c r="BG162" i="3"/>
  <c r="BF162" i="3"/>
  <c r="BE162" i="3"/>
  <c r="BD162" i="3"/>
  <c r="BC162" i="3"/>
  <c r="BB162" i="3"/>
  <c r="BA162" i="3"/>
  <c r="AX162" i="3"/>
  <c r="AW162" i="3"/>
  <c r="AV162" i="3"/>
  <c r="AC162" i="3"/>
  <c r="H162" i="3"/>
  <c r="G162" i="3"/>
  <c r="BL161" i="3"/>
  <c r="BK161" i="3"/>
  <c r="BJ161" i="3"/>
  <c r="BI161" i="3"/>
  <c r="BH161" i="3"/>
  <c r="BG161" i="3"/>
  <c r="BF161" i="3"/>
  <c r="BE161" i="3"/>
  <c r="BD161" i="3"/>
  <c r="BC161" i="3"/>
  <c r="BB161" i="3"/>
  <c r="AX161" i="3"/>
  <c r="AW161" i="3"/>
  <c r="AV161" i="3"/>
  <c r="AC161" i="3"/>
  <c r="H161" i="3"/>
  <c r="G161" i="3"/>
  <c r="BL160" i="3"/>
  <c r="BK160" i="3"/>
  <c r="BJ160" i="3"/>
  <c r="BI160" i="3"/>
  <c r="BH160" i="3"/>
  <c r="BG160" i="3"/>
  <c r="BF160" i="3"/>
  <c r="BE160" i="3"/>
  <c r="BD160" i="3"/>
  <c r="BC160" i="3"/>
  <c r="BB160" i="3"/>
  <c r="BA160" i="3"/>
  <c r="AZ160" i="3"/>
  <c r="AX160" i="3"/>
  <c r="AW160" i="3"/>
  <c r="AV160" i="3"/>
  <c r="AC160" i="3"/>
  <c r="H160" i="3"/>
  <c r="G160" i="3"/>
  <c r="BL159" i="3"/>
  <c r="BK159" i="3"/>
  <c r="BJ159" i="3"/>
  <c r="BI159" i="3"/>
  <c r="BH159" i="3"/>
  <c r="BG159" i="3"/>
  <c r="BF159" i="3"/>
  <c r="BE159" i="3"/>
  <c r="BD159" i="3"/>
  <c r="BC159" i="3"/>
  <c r="BB159" i="3"/>
  <c r="BA159" i="3"/>
  <c r="AZ159" i="3"/>
  <c r="AX159" i="3"/>
  <c r="AW159" i="3"/>
  <c r="AV159" i="3"/>
  <c r="AC159" i="3"/>
  <c r="H159" i="3"/>
  <c r="BK158" i="3"/>
  <c r="BJ158" i="3"/>
  <c r="BI158" i="3"/>
  <c r="BH158" i="3"/>
  <c r="BG158" i="3"/>
  <c r="BF158" i="3"/>
  <c r="BE158" i="3"/>
  <c r="BD158" i="3"/>
  <c r="BC158" i="3"/>
  <c r="BB158" i="3"/>
  <c r="BA158" i="3"/>
  <c r="AX158" i="3"/>
  <c r="AW158" i="3"/>
  <c r="AV158" i="3"/>
  <c r="AC158" i="3"/>
  <c r="H158" i="3"/>
  <c r="G158" i="3"/>
  <c r="BL157"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Z156" i="3"/>
  <c r="AX156" i="3"/>
  <c r="AW156" i="3"/>
  <c r="AV156" i="3"/>
  <c r="AC156" i="3"/>
  <c r="H156" i="3"/>
  <c r="G156" i="3"/>
  <c r="BL155" i="3"/>
  <c r="BK155" i="3"/>
  <c r="BJ155" i="3"/>
  <c r="BI155" i="3"/>
  <c r="BH155" i="3"/>
  <c r="BG155" i="3"/>
  <c r="BF155" i="3"/>
  <c r="BE155" i="3"/>
  <c r="BD155" i="3"/>
  <c r="BC155" i="3"/>
  <c r="BB155" i="3"/>
  <c r="BA155" i="3"/>
  <c r="AZ155" i="3"/>
  <c r="AX155" i="3"/>
  <c r="AW155" i="3"/>
  <c r="AV155" i="3"/>
  <c r="AC155" i="3"/>
  <c r="H155" i="3"/>
  <c r="BK154" i="3"/>
  <c r="BJ154" i="3"/>
  <c r="BI154" i="3"/>
  <c r="BH154" i="3"/>
  <c r="BG154" i="3"/>
  <c r="BF154" i="3"/>
  <c r="BE154" i="3"/>
  <c r="BD154" i="3"/>
  <c r="BC154" i="3"/>
  <c r="BB154" i="3"/>
  <c r="BA154" i="3"/>
  <c r="AX154" i="3"/>
  <c r="AW154" i="3"/>
  <c r="AV154" i="3"/>
  <c r="AC154" i="3"/>
  <c r="H154" i="3"/>
  <c r="G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G151" i="3"/>
  <c r="BL150" i="3"/>
  <c r="BK150" i="3"/>
  <c r="BJ150" i="3"/>
  <c r="BI150" i="3"/>
  <c r="BH150" i="3"/>
  <c r="BG150" i="3"/>
  <c r="BF150" i="3"/>
  <c r="BE150" i="3"/>
  <c r="BD150" i="3"/>
  <c r="BC150" i="3"/>
  <c r="BB150" i="3"/>
  <c r="AX150" i="3"/>
  <c r="AW150" i="3"/>
  <c r="AV150" i="3"/>
  <c r="AC150" i="3"/>
  <c r="H150" i="3"/>
  <c r="G150" i="3"/>
  <c r="BL149" i="3"/>
  <c r="BK149" i="3"/>
  <c r="BJ149" i="3"/>
  <c r="BI149" i="3"/>
  <c r="BH149" i="3"/>
  <c r="BG149" i="3"/>
  <c r="BF149" i="3"/>
  <c r="BE149" i="3"/>
  <c r="BD149" i="3"/>
  <c r="BC149" i="3"/>
  <c r="BB149" i="3"/>
  <c r="BA149" i="3"/>
  <c r="AZ149" i="3"/>
  <c r="AX149" i="3"/>
  <c r="AW149" i="3"/>
  <c r="AV149" i="3"/>
  <c r="AC149" i="3"/>
  <c r="H149" i="3"/>
  <c r="G149" i="3"/>
  <c r="BL148" i="3"/>
  <c r="BK148" i="3"/>
  <c r="BJ148" i="3"/>
  <c r="BI148" i="3"/>
  <c r="BH148" i="3"/>
  <c r="BG148" i="3"/>
  <c r="BF148" i="3"/>
  <c r="BE148" i="3"/>
  <c r="BD148" i="3"/>
  <c r="BC148" i="3"/>
  <c r="BB148" i="3"/>
  <c r="BA148" i="3"/>
  <c r="AX148" i="3"/>
  <c r="AW148" i="3"/>
  <c r="AV148" i="3"/>
  <c r="AC148" i="3"/>
  <c r="H148" i="3"/>
  <c r="BK147" i="3"/>
  <c r="BJ147" i="3"/>
  <c r="BI147" i="3"/>
  <c r="BH147" i="3"/>
  <c r="BG147" i="3"/>
  <c r="BF147" i="3"/>
  <c r="BE147" i="3"/>
  <c r="BD147" i="3"/>
  <c r="BC147" i="3"/>
  <c r="BB147" i="3"/>
  <c r="BA147" i="3"/>
  <c r="AX147" i="3"/>
  <c r="AW147" i="3"/>
  <c r="AV147" i="3"/>
  <c r="AC147" i="3"/>
  <c r="H147" i="3"/>
  <c r="G147" i="3"/>
  <c r="BL146" i="3"/>
  <c r="BK146" i="3"/>
  <c r="BJ146" i="3"/>
  <c r="BI146" i="3"/>
  <c r="BH146" i="3"/>
  <c r="BG146" i="3"/>
  <c r="BF146" i="3"/>
  <c r="BE146" i="3"/>
  <c r="BD146" i="3"/>
  <c r="BC146" i="3"/>
  <c r="BB146" i="3"/>
  <c r="AX146" i="3"/>
  <c r="AW146" i="3"/>
  <c r="AV146" i="3"/>
  <c r="AC146" i="3"/>
  <c r="H146" i="3"/>
  <c r="G146" i="3"/>
  <c r="BL145" i="3"/>
  <c r="BK145" i="3"/>
  <c r="BJ145" i="3"/>
  <c r="BI145" i="3"/>
  <c r="BH145" i="3"/>
  <c r="BG145" i="3"/>
  <c r="BF145" i="3"/>
  <c r="BE145" i="3"/>
  <c r="BD145" i="3"/>
  <c r="BC145" i="3"/>
  <c r="BB145" i="3"/>
  <c r="BA145" i="3"/>
  <c r="AX145" i="3"/>
  <c r="AW145" i="3"/>
  <c r="AV145" i="3"/>
  <c r="AC145" i="3"/>
  <c r="H145" i="3"/>
  <c r="G145" i="3"/>
  <c r="BL144" i="3"/>
  <c r="BK144" i="3"/>
  <c r="BJ144" i="3"/>
  <c r="BI144" i="3"/>
  <c r="BH144" i="3"/>
  <c r="BG144" i="3"/>
  <c r="BF144" i="3"/>
  <c r="BE144" i="3"/>
  <c r="BD144" i="3"/>
  <c r="BC144" i="3"/>
  <c r="BB144" i="3"/>
  <c r="BA144" i="3"/>
  <c r="AZ144" i="3"/>
  <c r="AX144" i="3"/>
  <c r="AW144" i="3"/>
  <c r="AV144" i="3"/>
  <c r="AC144" i="3"/>
  <c r="H144" i="3"/>
  <c r="BK143" i="3"/>
  <c r="BJ143" i="3"/>
  <c r="BI143" i="3"/>
  <c r="BH143" i="3"/>
  <c r="BG143" i="3"/>
  <c r="BF143" i="3"/>
  <c r="BE143" i="3"/>
  <c r="BD143" i="3"/>
  <c r="BC143" i="3"/>
  <c r="BB143" i="3"/>
  <c r="BA143" i="3"/>
  <c r="AX143" i="3"/>
  <c r="AW143" i="3"/>
  <c r="AV143" i="3"/>
  <c r="AC143" i="3"/>
  <c r="H143" i="3"/>
  <c r="G143" i="3"/>
  <c r="BL142" i="3"/>
  <c r="BK142" i="3"/>
  <c r="BJ142" i="3"/>
  <c r="BI142" i="3"/>
  <c r="BH142" i="3"/>
  <c r="BG142" i="3"/>
  <c r="BF142" i="3"/>
  <c r="BE142" i="3"/>
  <c r="BD142" i="3"/>
  <c r="BC142" i="3"/>
  <c r="BB142" i="3"/>
  <c r="AX142" i="3"/>
  <c r="AW142" i="3"/>
  <c r="AV142" i="3"/>
  <c r="AC142" i="3"/>
  <c r="H142" i="3"/>
  <c r="G142" i="3"/>
  <c r="BL141" i="3"/>
  <c r="BK141" i="3"/>
  <c r="BJ141" i="3"/>
  <c r="BI141" i="3"/>
  <c r="BH141" i="3"/>
  <c r="BG141" i="3"/>
  <c r="BF141" i="3"/>
  <c r="BE141" i="3"/>
  <c r="BD141" i="3"/>
  <c r="BC141" i="3"/>
  <c r="BB141" i="3"/>
  <c r="BA141" i="3"/>
  <c r="AZ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BA139" i="3"/>
  <c r="AX139" i="3"/>
  <c r="AW139" i="3"/>
  <c r="AV139" i="3"/>
  <c r="AC139" i="3"/>
  <c r="H139" i="3"/>
  <c r="G139" i="3"/>
  <c r="BL138" i="3"/>
  <c r="BK138" i="3"/>
  <c r="BJ138" i="3"/>
  <c r="BI138" i="3"/>
  <c r="BH138" i="3"/>
  <c r="BG138" i="3"/>
  <c r="BF138" i="3"/>
  <c r="BE138" i="3"/>
  <c r="BD138" i="3"/>
  <c r="BC138" i="3"/>
  <c r="BB138" i="3"/>
  <c r="AX138" i="3"/>
  <c r="AW138" i="3"/>
  <c r="AV138" i="3"/>
  <c r="AC138" i="3"/>
  <c r="H138" i="3"/>
  <c r="G138" i="3"/>
  <c r="BL137" i="3"/>
  <c r="BK137" i="3"/>
  <c r="BJ137" i="3"/>
  <c r="BI137" i="3"/>
  <c r="BH137" i="3"/>
  <c r="BG137" i="3"/>
  <c r="BF137" i="3"/>
  <c r="BE137" i="3"/>
  <c r="BD137" i="3"/>
  <c r="BC137" i="3"/>
  <c r="BB137" i="3"/>
  <c r="BA137" i="3"/>
  <c r="AX137" i="3"/>
  <c r="AW137" i="3"/>
  <c r="AV137" i="3"/>
  <c r="AC137" i="3"/>
  <c r="H137" i="3"/>
  <c r="G137" i="3"/>
  <c r="BL136" i="3"/>
  <c r="BK136" i="3"/>
  <c r="BJ136" i="3"/>
  <c r="BI136" i="3"/>
  <c r="BH136" i="3"/>
  <c r="BG136" i="3"/>
  <c r="BF136" i="3"/>
  <c r="BE136" i="3"/>
  <c r="BD136" i="3"/>
  <c r="BC136" i="3"/>
  <c r="BB136" i="3"/>
  <c r="BA136" i="3"/>
  <c r="AZ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G134" i="3"/>
  <c r="BL133" i="3"/>
  <c r="BK133" i="3"/>
  <c r="BJ133" i="3"/>
  <c r="BI133" i="3"/>
  <c r="BH133" i="3"/>
  <c r="BG133" i="3"/>
  <c r="BF133" i="3"/>
  <c r="BE133" i="3"/>
  <c r="BD133" i="3"/>
  <c r="BC133" i="3"/>
  <c r="BB133" i="3"/>
  <c r="BA133" i="3"/>
  <c r="AZ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BA131" i="3"/>
  <c r="AX131" i="3"/>
  <c r="AW131" i="3"/>
  <c r="AV131" i="3"/>
  <c r="AC131" i="3"/>
  <c r="H131" i="3"/>
  <c r="G131" i="3"/>
  <c r="BL130" i="3"/>
  <c r="BK130" i="3"/>
  <c r="BJ130" i="3"/>
  <c r="BI130" i="3"/>
  <c r="BH130" i="3"/>
  <c r="BG130" i="3"/>
  <c r="BF130" i="3"/>
  <c r="BE130" i="3"/>
  <c r="BD130" i="3"/>
  <c r="BC130" i="3"/>
  <c r="BB130" i="3"/>
  <c r="AX130" i="3"/>
  <c r="AW130" i="3"/>
  <c r="AV130" i="3"/>
  <c r="AC130" i="3"/>
  <c r="H130" i="3"/>
  <c r="G130" i="3"/>
  <c r="BL129" i="3"/>
  <c r="BK129" i="3"/>
  <c r="BJ129" i="3"/>
  <c r="BI129" i="3"/>
  <c r="BH129" i="3"/>
  <c r="BG129" i="3"/>
  <c r="BF129" i="3"/>
  <c r="BE129" i="3"/>
  <c r="BD129" i="3"/>
  <c r="BC129" i="3"/>
  <c r="BB129" i="3"/>
  <c r="BA129" i="3"/>
  <c r="AX129" i="3"/>
  <c r="AW129" i="3"/>
  <c r="AV129" i="3"/>
  <c r="AC129" i="3"/>
  <c r="H129" i="3"/>
  <c r="G129" i="3"/>
  <c r="BL128" i="3"/>
  <c r="BK128" i="3"/>
  <c r="BJ128" i="3"/>
  <c r="BI128" i="3"/>
  <c r="BH128" i="3"/>
  <c r="BG128" i="3"/>
  <c r="BF128" i="3"/>
  <c r="BE128" i="3"/>
  <c r="BD128" i="3"/>
  <c r="BC128" i="3"/>
  <c r="BB128" i="3"/>
  <c r="BA128" i="3"/>
  <c r="AZ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Z125" i="3"/>
  <c r="AX125" i="3"/>
  <c r="AW125" i="3"/>
  <c r="AV125" i="3"/>
  <c r="AC125" i="3"/>
  <c r="H125" i="3"/>
  <c r="G125" i="3"/>
  <c r="BL124" i="3"/>
  <c r="BK124" i="3"/>
  <c r="BJ124" i="3"/>
  <c r="BI124" i="3"/>
  <c r="BH124" i="3"/>
  <c r="BG124" i="3"/>
  <c r="BF124" i="3"/>
  <c r="BE124" i="3"/>
  <c r="BD124" i="3"/>
  <c r="BC124" i="3"/>
  <c r="BB124" i="3"/>
  <c r="BA124" i="3"/>
  <c r="AX124" i="3"/>
  <c r="AW124" i="3"/>
  <c r="AV124" i="3"/>
  <c r="AC124" i="3"/>
  <c r="H124" i="3"/>
  <c r="BK123" i="3"/>
  <c r="BJ123" i="3"/>
  <c r="BI123" i="3"/>
  <c r="BH123" i="3"/>
  <c r="BG123" i="3"/>
  <c r="BF123" i="3"/>
  <c r="BE123" i="3"/>
  <c r="BD123" i="3"/>
  <c r="BC123" i="3"/>
  <c r="BB123" i="3"/>
  <c r="BA123" i="3"/>
  <c r="AX123" i="3"/>
  <c r="AW123" i="3"/>
  <c r="AV123" i="3"/>
  <c r="AC123" i="3"/>
  <c r="H123" i="3"/>
  <c r="G123" i="3"/>
  <c r="BL122" i="3"/>
  <c r="BK122" i="3"/>
  <c r="BJ122" i="3"/>
  <c r="BI122" i="3"/>
  <c r="BH122" i="3"/>
  <c r="BG122" i="3"/>
  <c r="BF122" i="3"/>
  <c r="BE122" i="3"/>
  <c r="BD122" i="3"/>
  <c r="BC122" i="3"/>
  <c r="BB122" i="3"/>
  <c r="AX122" i="3"/>
  <c r="AW122" i="3"/>
  <c r="AV122" i="3"/>
  <c r="AC122" i="3"/>
  <c r="H122" i="3"/>
  <c r="G122" i="3"/>
  <c r="BL121"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BA120" i="3"/>
  <c r="AZ120" i="3"/>
  <c r="AX120" i="3"/>
  <c r="AW120" i="3"/>
  <c r="AV120" i="3"/>
  <c r="AC120" i="3"/>
  <c r="H120" i="3"/>
  <c r="BK119" i="3"/>
  <c r="BJ119" i="3"/>
  <c r="BI119" i="3"/>
  <c r="BH119" i="3"/>
  <c r="BG119" i="3"/>
  <c r="BF119" i="3"/>
  <c r="BE119" i="3"/>
  <c r="BD119" i="3"/>
  <c r="BC119" i="3"/>
  <c r="BB119" i="3"/>
  <c r="BA119" i="3"/>
  <c r="AX119" i="3"/>
  <c r="AW119" i="3"/>
  <c r="AV119" i="3"/>
  <c r="AC119" i="3"/>
  <c r="H119" i="3"/>
  <c r="G119" i="3"/>
  <c r="BL118"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Z117" i="3"/>
  <c r="AX117" i="3"/>
  <c r="AW117" i="3"/>
  <c r="AV117" i="3"/>
  <c r="AC117" i="3"/>
  <c r="H117" i="3"/>
  <c r="G117" i="3"/>
  <c r="BL116" i="3"/>
  <c r="BK116" i="3"/>
  <c r="BJ116" i="3"/>
  <c r="BI116" i="3"/>
  <c r="BH116" i="3"/>
  <c r="BG116" i="3"/>
  <c r="BF116" i="3"/>
  <c r="BE116" i="3"/>
  <c r="BD116" i="3"/>
  <c r="BC116" i="3"/>
  <c r="BB116" i="3"/>
  <c r="BA116" i="3"/>
  <c r="AX116" i="3"/>
  <c r="AW116" i="3"/>
  <c r="AV116" i="3"/>
  <c r="AC116" i="3"/>
  <c r="H116" i="3"/>
  <c r="BK115" i="3"/>
  <c r="BJ115" i="3"/>
  <c r="BI115" i="3"/>
  <c r="BH115" i="3"/>
  <c r="BG115" i="3"/>
  <c r="BF115" i="3"/>
  <c r="BE115" i="3"/>
  <c r="BD115" i="3"/>
  <c r="BC115" i="3"/>
  <c r="BB115" i="3"/>
  <c r="BA115" i="3"/>
  <c r="AX115" i="3"/>
  <c r="AW115" i="3"/>
  <c r="AV115" i="3"/>
  <c r="AC115" i="3"/>
  <c r="H115" i="3"/>
  <c r="G115" i="3"/>
  <c r="BL114" i="3"/>
  <c r="BK114" i="3"/>
  <c r="BJ114" i="3"/>
  <c r="BI114" i="3"/>
  <c r="BH114" i="3"/>
  <c r="BG114" i="3"/>
  <c r="BF114" i="3"/>
  <c r="BE114" i="3"/>
  <c r="BD114" i="3"/>
  <c r="BC114" i="3"/>
  <c r="BB114" i="3"/>
  <c r="AX114" i="3"/>
  <c r="AW114" i="3"/>
  <c r="AV114" i="3"/>
  <c r="AC114" i="3"/>
  <c r="H114" i="3"/>
  <c r="G114" i="3"/>
  <c r="BL113" i="3"/>
  <c r="BK113" i="3"/>
  <c r="BJ113" i="3"/>
  <c r="BI113" i="3"/>
  <c r="BH113" i="3"/>
  <c r="BG113" i="3"/>
  <c r="BF113" i="3"/>
  <c r="BE113" i="3"/>
  <c r="BD113" i="3"/>
  <c r="BC113" i="3"/>
  <c r="BB113" i="3"/>
  <c r="BA113" i="3"/>
  <c r="AX113" i="3"/>
  <c r="AW113" i="3"/>
  <c r="AV113" i="3"/>
  <c r="AC113" i="3"/>
  <c r="H113" i="3"/>
  <c r="G113" i="3"/>
  <c r="BL296" i="3"/>
  <c r="BK296" i="3"/>
  <c r="BJ296" i="3"/>
  <c r="BI296" i="3"/>
  <c r="BH296" i="3"/>
  <c r="BG296" i="3"/>
  <c r="BF296" i="3"/>
  <c r="BE296" i="3"/>
  <c r="BD296" i="3"/>
  <c r="BC296" i="3"/>
  <c r="BB296" i="3"/>
  <c r="BA296" i="3"/>
  <c r="AZ296" i="3"/>
  <c r="AX296" i="3"/>
  <c r="AW296" i="3"/>
  <c r="AV296" i="3"/>
  <c r="AC296" i="3"/>
  <c r="H296" i="3"/>
  <c r="G296" i="3"/>
  <c r="BL295" i="3"/>
  <c r="BK295" i="3"/>
  <c r="BJ295" i="3"/>
  <c r="BI295" i="3"/>
  <c r="BH295" i="3"/>
  <c r="BG295" i="3"/>
  <c r="BF295" i="3"/>
  <c r="BE295" i="3"/>
  <c r="BD295" i="3"/>
  <c r="BC295" i="3"/>
  <c r="BB295" i="3"/>
  <c r="BA295" i="3"/>
  <c r="AX295" i="3"/>
  <c r="AW295" i="3"/>
  <c r="AV295" i="3"/>
  <c r="AC295" i="3"/>
  <c r="H295" i="3"/>
  <c r="G295" i="3"/>
  <c r="BL294" i="3"/>
  <c r="BK294" i="3"/>
  <c r="BJ294" i="3"/>
  <c r="BI294" i="3"/>
  <c r="BH294" i="3"/>
  <c r="BG294" i="3"/>
  <c r="BF294" i="3"/>
  <c r="BE294" i="3"/>
  <c r="BD294" i="3"/>
  <c r="BC294" i="3"/>
  <c r="BB294" i="3"/>
  <c r="BA294" i="3"/>
  <c r="AX294" i="3"/>
  <c r="AW294" i="3"/>
  <c r="AV294" i="3"/>
  <c r="AC294" i="3"/>
  <c r="H294" i="3"/>
  <c r="G294" i="3"/>
  <c r="BL293" i="3"/>
  <c r="BK293" i="3"/>
  <c r="BJ293" i="3"/>
  <c r="BI293" i="3"/>
  <c r="BH293" i="3"/>
  <c r="BG293" i="3"/>
  <c r="BF293" i="3"/>
  <c r="BE293" i="3"/>
  <c r="BD293" i="3"/>
  <c r="BC293" i="3"/>
  <c r="BB293" i="3"/>
  <c r="BA293" i="3"/>
  <c r="AZ293" i="3"/>
  <c r="AX293" i="3"/>
  <c r="AW293" i="3"/>
  <c r="AV293" i="3"/>
  <c r="AC293" i="3"/>
  <c r="H293" i="3"/>
  <c r="G293" i="3"/>
  <c r="BL292" i="3"/>
  <c r="BK292" i="3"/>
  <c r="BJ292" i="3"/>
  <c r="BI292" i="3"/>
  <c r="BH292" i="3"/>
  <c r="BG292" i="3"/>
  <c r="BF292" i="3"/>
  <c r="BE292" i="3"/>
  <c r="BD292" i="3"/>
  <c r="BC292" i="3"/>
  <c r="BB292" i="3"/>
  <c r="BA292" i="3"/>
  <c r="AX292" i="3"/>
  <c r="AW292" i="3"/>
  <c r="AV292" i="3"/>
  <c r="AC292" i="3"/>
  <c r="H292" i="3"/>
  <c r="G292" i="3"/>
  <c r="BL291" i="3"/>
  <c r="BK291" i="3"/>
  <c r="BJ291" i="3"/>
  <c r="BI291" i="3"/>
  <c r="BH291" i="3"/>
  <c r="BG291" i="3"/>
  <c r="BF291" i="3"/>
  <c r="BE291" i="3"/>
  <c r="BD291" i="3"/>
  <c r="BC291" i="3"/>
  <c r="BB291" i="3"/>
  <c r="BA291" i="3"/>
  <c r="AX291" i="3"/>
  <c r="AW291" i="3"/>
  <c r="AV291" i="3"/>
  <c r="AC291" i="3"/>
  <c r="H291" i="3"/>
  <c r="G291" i="3"/>
  <c r="BL290" i="3"/>
  <c r="BK290" i="3"/>
  <c r="BJ290" i="3"/>
  <c r="BI290" i="3"/>
  <c r="BH290" i="3"/>
  <c r="BG290" i="3"/>
  <c r="BF290" i="3"/>
  <c r="BE290" i="3"/>
  <c r="BD290" i="3"/>
  <c r="BC290" i="3"/>
  <c r="BB290" i="3"/>
  <c r="BA290" i="3"/>
  <c r="AX290" i="3"/>
  <c r="AW290" i="3"/>
  <c r="AV290" i="3"/>
  <c r="AC290" i="3"/>
  <c r="H290" i="3"/>
  <c r="G290" i="3"/>
  <c r="BL289" i="3"/>
  <c r="BK289" i="3"/>
  <c r="BJ289" i="3"/>
  <c r="BI289" i="3"/>
  <c r="BH289" i="3"/>
  <c r="BG289" i="3"/>
  <c r="BF289" i="3"/>
  <c r="BE289" i="3"/>
  <c r="BD289" i="3"/>
  <c r="BC289" i="3"/>
  <c r="BB289" i="3"/>
  <c r="BA289" i="3"/>
  <c r="AX289" i="3"/>
  <c r="AW289" i="3"/>
  <c r="AV289" i="3"/>
  <c r="AC289" i="3"/>
  <c r="H289" i="3"/>
  <c r="G289" i="3"/>
  <c r="BL288" i="3"/>
  <c r="BK288" i="3"/>
  <c r="BJ288" i="3"/>
  <c r="BI288" i="3"/>
  <c r="BH288" i="3"/>
  <c r="BG288" i="3"/>
  <c r="BF288" i="3"/>
  <c r="BE288" i="3"/>
  <c r="BD288" i="3"/>
  <c r="BC288" i="3"/>
  <c r="BB288" i="3"/>
  <c r="BA288" i="3"/>
  <c r="AZ288" i="3"/>
  <c r="AX288" i="3"/>
  <c r="AW288" i="3"/>
  <c r="AV288" i="3"/>
  <c r="AC288" i="3"/>
  <c r="H288" i="3"/>
  <c r="G288" i="3"/>
  <c r="BL287" i="3"/>
  <c r="BK287" i="3"/>
  <c r="BJ287" i="3"/>
  <c r="BI287" i="3"/>
  <c r="BH287" i="3"/>
  <c r="BG287" i="3"/>
  <c r="BF287" i="3"/>
  <c r="BE287" i="3"/>
  <c r="BD287" i="3"/>
  <c r="BC287" i="3"/>
  <c r="BB287" i="3"/>
  <c r="BA287" i="3"/>
  <c r="AZ287" i="3"/>
  <c r="AX287" i="3"/>
  <c r="AW287" i="3"/>
  <c r="AV287" i="3"/>
  <c r="AC287" i="3"/>
  <c r="H287" i="3"/>
  <c r="G287" i="3"/>
  <c r="BL286" i="3"/>
  <c r="BK286" i="3"/>
  <c r="BJ286" i="3"/>
  <c r="BI286" i="3"/>
  <c r="BH286" i="3"/>
  <c r="BG286" i="3"/>
  <c r="BF286" i="3"/>
  <c r="BE286" i="3"/>
  <c r="BD286" i="3"/>
  <c r="BC286" i="3"/>
  <c r="BB286" i="3"/>
  <c r="BA286" i="3"/>
  <c r="AX286" i="3"/>
  <c r="AW286" i="3"/>
  <c r="AV286" i="3"/>
  <c r="AC286" i="3"/>
  <c r="H286" i="3"/>
  <c r="G286" i="3"/>
  <c r="BL285" i="3"/>
  <c r="BK285" i="3"/>
  <c r="BJ285" i="3"/>
  <c r="BI285" i="3"/>
  <c r="BH285" i="3"/>
  <c r="BG285" i="3"/>
  <c r="BF285" i="3"/>
  <c r="BE285" i="3"/>
  <c r="BD285" i="3"/>
  <c r="BC285" i="3"/>
  <c r="BB285" i="3"/>
  <c r="BA285" i="3"/>
  <c r="AZ285" i="3"/>
  <c r="AX285" i="3"/>
  <c r="AW285" i="3"/>
  <c r="AV285" i="3"/>
  <c r="AC285" i="3"/>
  <c r="H285" i="3"/>
  <c r="G285" i="3"/>
  <c r="BL284" i="3"/>
  <c r="BK284" i="3"/>
  <c r="BJ284" i="3"/>
  <c r="BI284" i="3"/>
  <c r="BH284" i="3"/>
  <c r="BG284" i="3"/>
  <c r="BF284" i="3"/>
  <c r="BE284" i="3"/>
  <c r="BD284" i="3"/>
  <c r="BC284" i="3"/>
  <c r="BB284" i="3"/>
  <c r="BA284" i="3"/>
  <c r="AX284" i="3"/>
  <c r="AW284" i="3"/>
  <c r="AV284" i="3"/>
  <c r="AC284" i="3"/>
  <c r="H284" i="3"/>
  <c r="G284" i="3"/>
  <c r="BL283" i="3"/>
  <c r="BK283" i="3"/>
  <c r="BJ283" i="3"/>
  <c r="BI283" i="3"/>
  <c r="BH283" i="3"/>
  <c r="BG283" i="3"/>
  <c r="BF283" i="3"/>
  <c r="BE283" i="3"/>
  <c r="BD283" i="3"/>
  <c r="BC283" i="3"/>
  <c r="BB283" i="3"/>
  <c r="BA283" i="3"/>
  <c r="AZ283" i="3"/>
  <c r="AX283" i="3"/>
  <c r="AW283" i="3"/>
  <c r="AV283" i="3"/>
  <c r="AC283" i="3"/>
  <c r="H283" i="3"/>
  <c r="G283" i="3"/>
  <c r="BL282" i="3"/>
  <c r="BK282" i="3"/>
  <c r="BJ282" i="3"/>
  <c r="BI282" i="3"/>
  <c r="BH282" i="3"/>
  <c r="BG282" i="3"/>
  <c r="BF282" i="3"/>
  <c r="BE282" i="3"/>
  <c r="BD282" i="3"/>
  <c r="BC282" i="3"/>
  <c r="BB282" i="3"/>
  <c r="BA282" i="3"/>
  <c r="AX282" i="3"/>
  <c r="AW282" i="3"/>
  <c r="AV282" i="3"/>
  <c r="AC282" i="3"/>
  <c r="H282" i="3"/>
  <c r="G282" i="3"/>
  <c r="BL281" i="3"/>
  <c r="BK281" i="3"/>
  <c r="BJ281" i="3"/>
  <c r="BI281" i="3"/>
  <c r="BH281" i="3"/>
  <c r="BG281" i="3"/>
  <c r="BF281" i="3"/>
  <c r="BE281" i="3"/>
  <c r="BD281" i="3"/>
  <c r="BC281" i="3"/>
  <c r="BB281" i="3"/>
  <c r="BA281" i="3"/>
  <c r="AX281" i="3"/>
  <c r="AW281" i="3"/>
  <c r="AV281" i="3"/>
  <c r="AC281" i="3"/>
  <c r="H281" i="3"/>
  <c r="G281" i="3"/>
  <c r="BL280" i="3"/>
  <c r="BK280" i="3"/>
  <c r="BJ280" i="3"/>
  <c r="BI280" i="3"/>
  <c r="BH280" i="3"/>
  <c r="BG280" i="3"/>
  <c r="BF280" i="3"/>
  <c r="BE280" i="3"/>
  <c r="BD280" i="3"/>
  <c r="BC280" i="3"/>
  <c r="BB280" i="3"/>
  <c r="BA280" i="3"/>
  <c r="AZ280" i="3"/>
  <c r="AX280" i="3"/>
  <c r="AW280" i="3"/>
  <c r="AV280" i="3"/>
  <c r="AC280" i="3"/>
  <c r="H280" i="3"/>
  <c r="G280" i="3"/>
  <c r="BL279" i="3"/>
  <c r="BK279" i="3"/>
  <c r="BJ279" i="3"/>
  <c r="BI279" i="3"/>
  <c r="BH279" i="3"/>
  <c r="BG279" i="3"/>
  <c r="BF279" i="3"/>
  <c r="BE279" i="3"/>
  <c r="BD279" i="3"/>
  <c r="BC279" i="3"/>
  <c r="BB279" i="3"/>
  <c r="BA279" i="3"/>
  <c r="AX279" i="3"/>
  <c r="AW279" i="3"/>
  <c r="AV279" i="3"/>
  <c r="AC279" i="3"/>
  <c r="H279" i="3"/>
  <c r="G279" i="3"/>
  <c r="BL278" i="3"/>
  <c r="BK278" i="3"/>
  <c r="BJ278" i="3"/>
  <c r="BI278" i="3"/>
  <c r="BH278" i="3"/>
  <c r="BG278" i="3"/>
  <c r="BF278" i="3"/>
  <c r="BE278" i="3"/>
  <c r="BD278" i="3"/>
  <c r="BC278" i="3"/>
  <c r="BB278" i="3"/>
  <c r="BA278" i="3"/>
  <c r="AX278" i="3"/>
  <c r="AW278" i="3"/>
  <c r="AV278" i="3"/>
  <c r="AC278" i="3"/>
  <c r="H278" i="3"/>
  <c r="G278" i="3"/>
  <c r="BL277" i="3"/>
  <c r="BK277" i="3"/>
  <c r="BJ277" i="3"/>
  <c r="BI277" i="3"/>
  <c r="BH277" i="3"/>
  <c r="BG277" i="3"/>
  <c r="BF277" i="3"/>
  <c r="BE277" i="3"/>
  <c r="BD277" i="3"/>
  <c r="BC277" i="3"/>
  <c r="BB277" i="3"/>
  <c r="BA277" i="3"/>
  <c r="AZ277" i="3"/>
  <c r="AX277" i="3"/>
  <c r="AW277" i="3"/>
  <c r="AV277" i="3"/>
  <c r="AC277" i="3"/>
  <c r="H277" i="3"/>
  <c r="G277" i="3"/>
  <c r="BL276" i="3"/>
  <c r="BK276" i="3"/>
  <c r="BJ276" i="3"/>
  <c r="BI276" i="3"/>
  <c r="BH276" i="3"/>
  <c r="BG276" i="3"/>
  <c r="BF276" i="3"/>
  <c r="BE276" i="3"/>
  <c r="BD276" i="3"/>
  <c r="BC276" i="3"/>
  <c r="BB276" i="3"/>
  <c r="BA276" i="3"/>
  <c r="AX276" i="3"/>
  <c r="AW276" i="3"/>
  <c r="AV276" i="3"/>
  <c r="AC276" i="3"/>
  <c r="H276" i="3"/>
  <c r="G276" i="3"/>
  <c r="BL275" i="3"/>
  <c r="BK275" i="3"/>
  <c r="BJ275" i="3"/>
  <c r="BI275" i="3"/>
  <c r="BH275" i="3"/>
  <c r="BG275" i="3"/>
  <c r="BF275" i="3"/>
  <c r="BE275" i="3"/>
  <c r="BD275" i="3"/>
  <c r="BC275" i="3"/>
  <c r="BB275" i="3"/>
  <c r="BA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BA273" i="3"/>
  <c r="AX273" i="3"/>
  <c r="AW273" i="3"/>
  <c r="AV273" i="3"/>
  <c r="AC273" i="3"/>
  <c r="H273" i="3"/>
  <c r="G273" i="3"/>
  <c r="BL272" i="3"/>
  <c r="BK272" i="3"/>
  <c r="BJ272" i="3"/>
  <c r="BI272" i="3"/>
  <c r="BH272" i="3"/>
  <c r="BG272" i="3"/>
  <c r="BF272" i="3"/>
  <c r="BE272" i="3"/>
  <c r="BD272" i="3"/>
  <c r="BC272" i="3"/>
  <c r="BB272" i="3"/>
  <c r="BA272" i="3"/>
  <c r="AZ272" i="3"/>
  <c r="AX272" i="3"/>
  <c r="AW272" i="3"/>
  <c r="AV272" i="3"/>
  <c r="AC272" i="3"/>
  <c r="H272" i="3"/>
  <c r="G272" i="3"/>
  <c r="BL271" i="3"/>
  <c r="BK271" i="3"/>
  <c r="BJ271" i="3"/>
  <c r="BI271" i="3"/>
  <c r="BH271" i="3"/>
  <c r="BG271" i="3"/>
  <c r="BF271" i="3"/>
  <c r="BE271" i="3"/>
  <c r="BD271" i="3"/>
  <c r="BC271" i="3"/>
  <c r="BB271" i="3"/>
  <c r="BA271" i="3"/>
  <c r="AZ271" i="3"/>
  <c r="AX271" i="3"/>
  <c r="AW271" i="3"/>
  <c r="AV271" i="3"/>
  <c r="AC271" i="3"/>
  <c r="H271" i="3"/>
  <c r="G271" i="3"/>
  <c r="BL270" i="3"/>
  <c r="BK270" i="3"/>
  <c r="BJ270" i="3"/>
  <c r="BI270" i="3"/>
  <c r="BH270" i="3"/>
  <c r="BG270" i="3"/>
  <c r="BF270" i="3"/>
  <c r="BE270" i="3"/>
  <c r="BD270" i="3"/>
  <c r="BC270" i="3"/>
  <c r="BB270" i="3"/>
  <c r="BA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G268" i="3"/>
  <c r="BL267" i="3"/>
  <c r="BK267" i="3"/>
  <c r="BJ267" i="3"/>
  <c r="BI267" i="3"/>
  <c r="BH267" i="3"/>
  <c r="BG267" i="3"/>
  <c r="BF267" i="3"/>
  <c r="BE267" i="3"/>
  <c r="BD267" i="3"/>
  <c r="BC267" i="3"/>
  <c r="BB267" i="3"/>
  <c r="BA267" i="3"/>
  <c r="AZ267" i="3"/>
  <c r="AX267" i="3"/>
  <c r="AW267" i="3"/>
  <c r="AV267" i="3"/>
  <c r="AC267" i="3"/>
  <c r="H267" i="3"/>
  <c r="G267" i="3"/>
  <c r="BL266" i="3"/>
  <c r="BK266" i="3"/>
  <c r="BJ266" i="3"/>
  <c r="BI266" i="3"/>
  <c r="BH266" i="3"/>
  <c r="BG266" i="3"/>
  <c r="BF266" i="3"/>
  <c r="BE266" i="3"/>
  <c r="BD266" i="3"/>
  <c r="BC266" i="3"/>
  <c r="BB266" i="3"/>
  <c r="BA266" i="3"/>
  <c r="AZ266" i="3"/>
  <c r="AX266" i="3"/>
  <c r="AW266" i="3"/>
  <c r="AV266" i="3"/>
  <c r="AC266" i="3"/>
  <c r="H266" i="3"/>
  <c r="G266" i="3"/>
  <c r="BL265" i="3"/>
  <c r="BK265" i="3"/>
  <c r="BJ265" i="3"/>
  <c r="BI265" i="3"/>
  <c r="BH265" i="3"/>
  <c r="BG265" i="3"/>
  <c r="BF265" i="3"/>
  <c r="BE265" i="3"/>
  <c r="BD265" i="3"/>
  <c r="BC265" i="3"/>
  <c r="BB265" i="3"/>
  <c r="BA265" i="3"/>
  <c r="AX265" i="3"/>
  <c r="AW265" i="3"/>
  <c r="AV265" i="3"/>
  <c r="AC265" i="3"/>
  <c r="H265" i="3"/>
  <c r="G265" i="3"/>
  <c r="BL264" i="3"/>
  <c r="BK264" i="3"/>
  <c r="BJ264" i="3"/>
  <c r="BI264" i="3"/>
  <c r="BH264" i="3"/>
  <c r="BG264" i="3"/>
  <c r="BF264" i="3"/>
  <c r="BE264" i="3"/>
  <c r="BD264" i="3"/>
  <c r="BC264" i="3"/>
  <c r="BB264" i="3"/>
  <c r="BA264" i="3"/>
  <c r="AZ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BA262" i="3"/>
  <c r="AZ262" i="3"/>
  <c r="AX262" i="3"/>
  <c r="AW262" i="3"/>
  <c r="AV262" i="3"/>
  <c r="AC262" i="3"/>
  <c r="H262" i="3"/>
  <c r="G262" i="3"/>
  <c r="BL261" i="3"/>
  <c r="BK261" i="3"/>
  <c r="BJ261" i="3"/>
  <c r="BI261" i="3"/>
  <c r="BH261" i="3"/>
  <c r="BG261" i="3"/>
  <c r="BF261" i="3"/>
  <c r="BE261" i="3"/>
  <c r="BD261" i="3"/>
  <c r="BC261" i="3"/>
  <c r="BB261" i="3"/>
  <c r="BA261" i="3"/>
  <c r="AX261" i="3"/>
  <c r="AW261" i="3"/>
  <c r="AV261" i="3"/>
  <c r="AC261" i="3"/>
  <c r="H261" i="3"/>
  <c r="G261" i="3"/>
  <c r="BL260" i="3"/>
  <c r="BK260" i="3"/>
  <c r="BJ260" i="3"/>
  <c r="BI260" i="3"/>
  <c r="BH260" i="3"/>
  <c r="BG260" i="3"/>
  <c r="BF260" i="3"/>
  <c r="BE260" i="3"/>
  <c r="BD260" i="3"/>
  <c r="BC260" i="3"/>
  <c r="BB260" i="3"/>
  <c r="BA260" i="3"/>
  <c r="AX260" i="3"/>
  <c r="AW260" i="3"/>
  <c r="AV260" i="3"/>
  <c r="AC260" i="3"/>
  <c r="H260" i="3"/>
  <c r="G260" i="3"/>
  <c r="BL259" i="3"/>
  <c r="BK259" i="3"/>
  <c r="BJ259" i="3"/>
  <c r="BI259" i="3"/>
  <c r="BH259" i="3"/>
  <c r="BG259" i="3"/>
  <c r="BF259" i="3"/>
  <c r="BE259" i="3"/>
  <c r="BD259" i="3"/>
  <c r="BC259" i="3"/>
  <c r="BB259" i="3"/>
  <c r="BA259" i="3"/>
  <c r="AX259" i="3"/>
  <c r="AW259" i="3"/>
  <c r="AV259" i="3"/>
  <c r="AC259" i="3"/>
  <c r="H259" i="3"/>
  <c r="G259" i="3"/>
  <c r="BL258" i="3"/>
  <c r="BK258" i="3"/>
  <c r="BJ258" i="3"/>
  <c r="BI258" i="3"/>
  <c r="BH258" i="3"/>
  <c r="BG258" i="3"/>
  <c r="BF258" i="3"/>
  <c r="BE258" i="3"/>
  <c r="BD258" i="3"/>
  <c r="BC258" i="3"/>
  <c r="BB258" i="3"/>
  <c r="BA258" i="3"/>
  <c r="AZ258" i="3"/>
  <c r="AX258" i="3"/>
  <c r="AW258" i="3"/>
  <c r="AV258" i="3"/>
  <c r="AC258" i="3"/>
  <c r="H258" i="3"/>
  <c r="G258" i="3"/>
  <c r="BL257" i="3"/>
  <c r="BK257" i="3"/>
  <c r="BJ257" i="3"/>
  <c r="BI257" i="3"/>
  <c r="BH257" i="3"/>
  <c r="BG257" i="3"/>
  <c r="BF257" i="3"/>
  <c r="BE257" i="3"/>
  <c r="BD257" i="3"/>
  <c r="BC257" i="3"/>
  <c r="BB257" i="3"/>
  <c r="BA257" i="3"/>
  <c r="AX257" i="3"/>
  <c r="AW257" i="3"/>
  <c r="AV257" i="3"/>
  <c r="AC257" i="3"/>
  <c r="H257" i="3"/>
  <c r="G257" i="3"/>
  <c r="BL256" i="3"/>
  <c r="BK256" i="3"/>
  <c r="BJ256" i="3"/>
  <c r="BI256" i="3"/>
  <c r="BH256" i="3"/>
  <c r="BG256" i="3"/>
  <c r="BF256" i="3"/>
  <c r="BE256" i="3"/>
  <c r="BD256" i="3"/>
  <c r="BC256" i="3"/>
  <c r="BB256" i="3"/>
  <c r="BA256" i="3"/>
  <c r="AZ256" i="3"/>
  <c r="AX256" i="3"/>
  <c r="AW256" i="3"/>
  <c r="AV256" i="3"/>
  <c r="AC256" i="3"/>
  <c r="H256" i="3"/>
  <c r="G256" i="3"/>
  <c r="BL255" i="3"/>
  <c r="BK255" i="3"/>
  <c r="BJ255" i="3"/>
  <c r="BI255" i="3"/>
  <c r="BH255" i="3"/>
  <c r="BG255" i="3"/>
  <c r="BF255" i="3"/>
  <c r="BE255" i="3"/>
  <c r="BD255" i="3"/>
  <c r="BC255" i="3"/>
  <c r="BB255" i="3"/>
  <c r="BA255" i="3"/>
  <c r="AX255" i="3"/>
  <c r="AW255" i="3"/>
  <c r="AV255" i="3"/>
  <c r="AC255" i="3"/>
  <c r="H255" i="3"/>
  <c r="G255" i="3"/>
  <c r="BL254" i="3"/>
  <c r="BK254" i="3"/>
  <c r="BJ254" i="3"/>
  <c r="BI254" i="3"/>
  <c r="BH254" i="3"/>
  <c r="BG254" i="3"/>
  <c r="BF254" i="3"/>
  <c r="BE254" i="3"/>
  <c r="BD254" i="3"/>
  <c r="BC254" i="3"/>
  <c r="BB254" i="3"/>
  <c r="BA254" i="3"/>
  <c r="AZ254" i="3"/>
  <c r="AX254" i="3"/>
  <c r="AW254" i="3"/>
  <c r="AV254" i="3"/>
  <c r="AC254" i="3"/>
  <c r="H254" i="3"/>
  <c r="G254" i="3"/>
  <c r="BL253"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G252" i="3"/>
  <c r="BL251" i="3"/>
  <c r="BK251" i="3"/>
  <c r="BJ251" i="3"/>
  <c r="BI251" i="3"/>
  <c r="BH251" i="3"/>
  <c r="BG251" i="3"/>
  <c r="BF251" i="3"/>
  <c r="BE251" i="3"/>
  <c r="BD251" i="3"/>
  <c r="BC251" i="3"/>
  <c r="BB251" i="3"/>
  <c r="BA251" i="3"/>
  <c r="AX251" i="3"/>
  <c r="AW251" i="3"/>
  <c r="AV251" i="3"/>
  <c r="AC251" i="3"/>
  <c r="H251" i="3"/>
  <c r="G251" i="3"/>
  <c r="BL250" i="3"/>
  <c r="BK250" i="3"/>
  <c r="BJ250" i="3"/>
  <c r="BI250" i="3"/>
  <c r="BH250" i="3"/>
  <c r="BG250" i="3"/>
  <c r="BF250" i="3"/>
  <c r="BE250" i="3"/>
  <c r="BD250" i="3"/>
  <c r="BC250" i="3"/>
  <c r="BB250" i="3"/>
  <c r="BA250" i="3"/>
  <c r="AZ250" i="3"/>
  <c r="AX250" i="3"/>
  <c r="AW250" i="3"/>
  <c r="AV250" i="3"/>
  <c r="AC250" i="3"/>
  <c r="H250" i="3"/>
  <c r="G250" i="3"/>
  <c r="BL249" i="3"/>
  <c r="BK249" i="3"/>
  <c r="BJ249" i="3"/>
  <c r="BI249" i="3"/>
  <c r="BH249" i="3"/>
  <c r="BG249" i="3"/>
  <c r="BF249" i="3"/>
  <c r="BE249" i="3"/>
  <c r="BD249" i="3"/>
  <c r="BC249" i="3"/>
  <c r="BB249" i="3"/>
  <c r="BA249" i="3"/>
  <c r="AX249" i="3"/>
  <c r="AW249" i="3"/>
  <c r="AV249" i="3"/>
  <c r="AC249" i="3"/>
  <c r="H249" i="3"/>
  <c r="G249" i="3"/>
  <c r="BL248" i="3"/>
  <c r="BK248" i="3"/>
  <c r="BJ248" i="3"/>
  <c r="BI248" i="3"/>
  <c r="BH248" i="3"/>
  <c r="BG248" i="3"/>
  <c r="BF248" i="3"/>
  <c r="BE248" i="3"/>
  <c r="BD248" i="3"/>
  <c r="BC248" i="3"/>
  <c r="BB248" i="3"/>
  <c r="BA248" i="3"/>
  <c r="AZ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BA246" i="3"/>
  <c r="AZ246" i="3"/>
  <c r="AX246" i="3"/>
  <c r="AW246" i="3"/>
  <c r="AV246" i="3"/>
  <c r="AC246" i="3"/>
  <c r="H246" i="3"/>
  <c r="G246" i="3"/>
  <c r="BL245" i="3"/>
  <c r="BK245" i="3"/>
  <c r="BJ245" i="3"/>
  <c r="BI245" i="3"/>
  <c r="BH245" i="3"/>
  <c r="BG245" i="3"/>
  <c r="BF245" i="3"/>
  <c r="BE245" i="3"/>
  <c r="BD245" i="3"/>
  <c r="BC245" i="3"/>
  <c r="BB245" i="3"/>
  <c r="BA245" i="3"/>
  <c r="AX245" i="3"/>
  <c r="AW245" i="3"/>
  <c r="AV245" i="3"/>
  <c r="AC245" i="3"/>
  <c r="H245" i="3"/>
  <c r="G245" i="3"/>
  <c r="BL244" i="3"/>
  <c r="BK244" i="3"/>
  <c r="BJ244" i="3"/>
  <c r="BI244" i="3"/>
  <c r="BH244" i="3"/>
  <c r="BG244" i="3"/>
  <c r="BF244" i="3"/>
  <c r="BE244" i="3"/>
  <c r="BD244" i="3"/>
  <c r="BC244" i="3"/>
  <c r="BB244" i="3"/>
  <c r="BA244" i="3"/>
  <c r="AX244" i="3"/>
  <c r="AW244" i="3"/>
  <c r="AV244" i="3"/>
  <c r="AC244" i="3"/>
  <c r="H244" i="3"/>
  <c r="G244" i="3"/>
  <c r="BL243" i="3"/>
  <c r="BK243" i="3"/>
  <c r="BJ243" i="3"/>
  <c r="BI243" i="3"/>
  <c r="BH243" i="3"/>
  <c r="BG243" i="3"/>
  <c r="BF243" i="3"/>
  <c r="BE243" i="3"/>
  <c r="BD243" i="3"/>
  <c r="BC243" i="3"/>
  <c r="BB243" i="3"/>
  <c r="BA243" i="3"/>
  <c r="AX243" i="3"/>
  <c r="AW243" i="3"/>
  <c r="AV243" i="3"/>
  <c r="AC243" i="3"/>
  <c r="H243" i="3"/>
  <c r="G243" i="3"/>
  <c r="BL242" i="3"/>
  <c r="BK242" i="3"/>
  <c r="BJ242" i="3"/>
  <c r="BI242" i="3"/>
  <c r="BH242" i="3"/>
  <c r="BG242" i="3"/>
  <c r="BF242" i="3"/>
  <c r="BE242" i="3"/>
  <c r="BD242" i="3"/>
  <c r="BC242" i="3"/>
  <c r="BB242" i="3"/>
  <c r="BA242" i="3"/>
  <c r="AZ242" i="3"/>
  <c r="AX242" i="3"/>
  <c r="AW242" i="3"/>
  <c r="AV242" i="3"/>
  <c r="AC242" i="3"/>
  <c r="H242" i="3"/>
  <c r="G242" i="3"/>
  <c r="BL241" i="3"/>
  <c r="BK241" i="3"/>
  <c r="BJ241" i="3"/>
  <c r="BI241" i="3"/>
  <c r="BH241" i="3"/>
  <c r="BG241" i="3"/>
  <c r="BF241" i="3"/>
  <c r="BE241" i="3"/>
  <c r="BD241" i="3"/>
  <c r="BC241" i="3"/>
  <c r="BB241" i="3"/>
  <c r="BA241" i="3"/>
  <c r="AX241" i="3"/>
  <c r="AW241" i="3"/>
  <c r="AV241" i="3"/>
  <c r="AC241" i="3"/>
  <c r="H241" i="3"/>
  <c r="G241" i="3"/>
  <c r="BL240" i="3"/>
  <c r="BK240" i="3"/>
  <c r="BJ240" i="3"/>
  <c r="BI240" i="3"/>
  <c r="BH240" i="3"/>
  <c r="BG240" i="3"/>
  <c r="BF240" i="3"/>
  <c r="BE240" i="3"/>
  <c r="BD240" i="3"/>
  <c r="BC240" i="3"/>
  <c r="BB240" i="3"/>
  <c r="BA240" i="3"/>
  <c r="AZ240" i="3"/>
  <c r="AX240" i="3"/>
  <c r="AW240" i="3"/>
  <c r="AV240" i="3"/>
  <c r="AC240" i="3"/>
  <c r="H240" i="3"/>
  <c r="G240" i="3"/>
  <c r="BL239" i="3"/>
  <c r="BK239" i="3"/>
  <c r="BJ239" i="3"/>
  <c r="BI239" i="3"/>
  <c r="BH239" i="3"/>
  <c r="BG239" i="3"/>
  <c r="BF239" i="3"/>
  <c r="BE239" i="3"/>
  <c r="BD239" i="3"/>
  <c r="BC239" i="3"/>
  <c r="BB239" i="3"/>
  <c r="BA239" i="3"/>
  <c r="AX239" i="3"/>
  <c r="AW239" i="3"/>
  <c r="AV239" i="3"/>
  <c r="AC239" i="3"/>
  <c r="H239" i="3"/>
  <c r="G239" i="3"/>
  <c r="BL238" i="3"/>
  <c r="BK238" i="3"/>
  <c r="BJ238" i="3"/>
  <c r="BI238" i="3"/>
  <c r="BH238" i="3"/>
  <c r="BG238" i="3"/>
  <c r="BF238" i="3"/>
  <c r="BE238" i="3"/>
  <c r="BD238" i="3"/>
  <c r="BC238" i="3"/>
  <c r="BB238" i="3"/>
  <c r="BA238" i="3"/>
  <c r="AZ238" i="3"/>
  <c r="AX238" i="3"/>
  <c r="AW238" i="3"/>
  <c r="AV238" i="3"/>
  <c r="AC238" i="3"/>
  <c r="H238" i="3"/>
  <c r="G238" i="3"/>
  <c r="BL237"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G236" i="3"/>
  <c r="BL235" i="3"/>
  <c r="BK235" i="3"/>
  <c r="BJ235" i="3"/>
  <c r="BI235" i="3"/>
  <c r="BH235" i="3"/>
  <c r="BG235" i="3"/>
  <c r="BF235" i="3"/>
  <c r="BE235" i="3"/>
  <c r="BD235" i="3"/>
  <c r="BC235" i="3"/>
  <c r="BB235" i="3"/>
  <c r="BA235" i="3"/>
  <c r="AX235" i="3"/>
  <c r="AW235" i="3"/>
  <c r="AV235" i="3"/>
  <c r="AC235" i="3"/>
  <c r="H235" i="3"/>
  <c r="G235" i="3"/>
  <c r="BL234" i="3"/>
  <c r="BK234" i="3"/>
  <c r="BJ234" i="3"/>
  <c r="BI234" i="3"/>
  <c r="BH234" i="3"/>
  <c r="BG234" i="3"/>
  <c r="BF234" i="3"/>
  <c r="BE234" i="3"/>
  <c r="BD234" i="3"/>
  <c r="BC234" i="3"/>
  <c r="BB234" i="3"/>
  <c r="BA234" i="3"/>
  <c r="AZ234" i="3"/>
  <c r="AX234" i="3"/>
  <c r="AW234" i="3"/>
  <c r="AV234" i="3"/>
  <c r="AC234" i="3"/>
  <c r="H234" i="3"/>
  <c r="G234" i="3"/>
  <c r="BL233" i="3"/>
  <c r="BK233" i="3"/>
  <c r="BJ233" i="3"/>
  <c r="BI233" i="3"/>
  <c r="BH233" i="3"/>
  <c r="BG233" i="3"/>
  <c r="BF233" i="3"/>
  <c r="BE233" i="3"/>
  <c r="BD233" i="3"/>
  <c r="BC233" i="3"/>
  <c r="BB233" i="3"/>
  <c r="BA233" i="3"/>
  <c r="AX233" i="3"/>
  <c r="AW233" i="3"/>
  <c r="AV233" i="3"/>
  <c r="AC233" i="3"/>
  <c r="H233" i="3"/>
  <c r="G233" i="3"/>
  <c r="BL232" i="3"/>
  <c r="BK232" i="3"/>
  <c r="BJ232" i="3"/>
  <c r="BI232" i="3"/>
  <c r="BH232" i="3"/>
  <c r="BG232" i="3"/>
  <c r="BF232" i="3"/>
  <c r="BE232" i="3"/>
  <c r="BD232" i="3"/>
  <c r="BC232" i="3"/>
  <c r="BB232" i="3"/>
  <c r="BA232" i="3"/>
  <c r="AZ232" i="3"/>
  <c r="AX232" i="3"/>
  <c r="AW232" i="3"/>
  <c r="AV232" i="3"/>
  <c r="AC232" i="3"/>
  <c r="H232" i="3"/>
  <c r="G232" i="3"/>
  <c r="BL231" i="3"/>
  <c r="BK231" i="3"/>
  <c r="BJ231" i="3"/>
  <c r="BI231" i="3"/>
  <c r="BH231" i="3"/>
  <c r="BG231" i="3"/>
  <c r="BF231" i="3"/>
  <c r="BE231" i="3"/>
  <c r="BD231" i="3"/>
  <c r="BC231" i="3"/>
  <c r="BB231" i="3"/>
  <c r="BA231" i="3"/>
  <c r="AX231" i="3"/>
  <c r="AW231" i="3"/>
  <c r="AV231" i="3"/>
  <c r="AC231" i="3"/>
  <c r="H231" i="3"/>
  <c r="G231" i="3"/>
  <c r="BL230" i="3"/>
  <c r="BK230" i="3"/>
  <c r="BJ230" i="3"/>
  <c r="BI230" i="3"/>
  <c r="BH230" i="3"/>
  <c r="BG230" i="3"/>
  <c r="BF230" i="3"/>
  <c r="BE230" i="3"/>
  <c r="BD230" i="3"/>
  <c r="BC230" i="3"/>
  <c r="BB230" i="3"/>
  <c r="BA230" i="3"/>
  <c r="AZ230" i="3"/>
  <c r="AX230" i="3"/>
  <c r="AW230" i="3"/>
  <c r="AV230" i="3"/>
  <c r="AC230" i="3"/>
  <c r="H230" i="3"/>
  <c r="G230" i="3"/>
  <c r="BL229"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G228" i="3"/>
  <c r="BL227" i="3"/>
  <c r="BK227" i="3"/>
  <c r="BJ227" i="3"/>
  <c r="BI227" i="3"/>
  <c r="BH227" i="3"/>
  <c r="BG227" i="3"/>
  <c r="BF227" i="3"/>
  <c r="BE227" i="3"/>
  <c r="BD227" i="3"/>
  <c r="BC227" i="3"/>
  <c r="BB227" i="3"/>
  <c r="BA227" i="3"/>
  <c r="AX227" i="3"/>
  <c r="AW227" i="3"/>
  <c r="AV227" i="3"/>
  <c r="AC227" i="3"/>
  <c r="H227" i="3"/>
  <c r="G227" i="3"/>
  <c r="BL226" i="3"/>
  <c r="BK226" i="3"/>
  <c r="BJ226" i="3"/>
  <c r="BI226" i="3"/>
  <c r="BH226" i="3"/>
  <c r="BG226" i="3"/>
  <c r="BF226" i="3"/>
  <c r="BE226" i="3"/>
  <c r="BD226" i="3"/>
  <c r="BC226" i="3"/>
  <c r="BB226" i="3"/>
  <c r="BA226" i="3"/>
  <c r="AZ226" i="3"/>
  <c r="AX226" i="3"/>
  <c r="AW226" i="3"/>
  <c r="AV226" i="3"/>
  <c r="AC226" i="3"/>
  <c r="H226" i="3"/>
  <c r="G226" i="3"/>
  <c r="BL225" i="3"/>
  <c r="BK225" i="3"/>
  <c r="BJ225" i="3"/>
  <c r="BI225" i="3"/>
  <c r="BH225" i="3"/>
  <c r="BG225" i="3"/>
  <c r="BF225" i="3"/>
  <c r="BE225" i="3"/>
  <c r="BD225" i="3"/>
  <c r="BC225" i="3"/>
  <c r="BB225" i="3"/>
  <c r="BA225" i="3"/>
  <c r="AX225" i="3"/>
  <c r="AW225" i="3"/>
  <c r="AV225" i="3"/>
  <c r="AC225" i="3"/>
  <c r="H225" i="3"/>
  <c r="G225" i="3"/>
  <c r="BL224" i="3"/>
  <c r="BK224" i="3"/>
  <c r="BJ224" i="3"/>
  <c r="BI224" i="3"/>
  <c r="BH224" i="3"/>
  <c r="BG224" i="3"/>
  <c r="BF224" i="3"/>
  <c r="BE224" i="3"/>
  <c r="BD224" i="3"/>
  <c r="BC224" i="3"/>
  <c r="BB224" i="3"/>
  <c r="BA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BA222" i="3"/>
  <c r="AZ222" i="3"/>
  <c r="AX222" i="3"/>
  <c r="AW222" i="3"/>
  <c r="AV222" i="3"/>
  <c r="AC222" i="3"/>
  <c r="H222" i="3"/>
  <c r="G222" i="3"/>
  <c r="BL221" i="3"/>
  <c r="BK221" i="3"/>
  <c r="BJ221" i="3"/>
  <c r="BI221" i="3"/>
  <c r="BH221" i="3"/>
  <c r="BG221" i="3"/>
  <c r="BF221" i="3"/>
  <c r="BE221" i="3"/>
  <c r="BD221" i="3"/>
  <c r="BC221" i="3"/>
  <c r="BB221" i="3"/>
  <c r="BA221" i="3"/>
  <c r="AX221" i="3"/>
  <c r="AW221" i="3"/>
  <c r="AV221" i="3"/>
  <c r="AC221" i="3"/>
  <c r="H221" i="3"/>
  <c r="G221" i="3"/>
  <c r="BL220" i="3"/>
  <c r="BK220" i="3"/>
  <c r="BJ220" i="3"/>
  <c r="BI220" i="3"/>
  <c r="BH220" i="3"/>
  <c r="BG220" i="3"/>
  <c r="BF220" i="3"/>
  <c r="BE220" i="3"/>
  <c r="BD220" i="3"/>
  <c r="BC220" i="3"/>
  <c r="BB220" i="3"/>
  <c r="BA220" i="3"/>
  <c r="AX220" i="3"/>
  <c r="AW220" i="3"/>
  <c r="AV220" i="3"/>
  <c r="AC220" i="3"/>
  <c r="H220" i="3"/>
  <c r="G220" i="3"/>
  <c r="BL219" i="3"/>
  <c r="BK219" i="3"/>
  <c r="BJ219" i="3"/>
  <c r="BI219" i="3"/>
  <c r="BH219" i="3"/>
  <c r="BG219" i="3"/>
  <c r="BF219" i="3"/>
  <c r="BE219" i="3"/>
  <c r="BD219" i="3"/>
  <c r="BC219" i="3"/>
  <c r="BB219" i="3"/>
  <c r="BA219" i="3"/>
  <c r="AZ219" i="3"/>
  <c r="AX219" i="3"/>
  <c r="AW219" i="3"/>
  <c r="AV219" i="3"/>
  <c r="AC219" i="3"/>
  <c r="H219" i="3"/>
  <c r="G219" i="3"/>
  <c r="BL218" i="3"/>
  <c r="BK218" i="3"/>
  <c r="BJ218" i="3"/>
  <c r="BI218" i="3"/>
  <c r="BH218" i="3"/>
  <c r="BG218" i="3"/>
  <c r="BF218" i="3"/>
  <c r="BE218" i="3"/>
  <c r="BD218" i="3"/>
  <c r="BC218" i="3"/>
  <c r="BB218" i="3"/>
  <c r="BA218" i="3"/>
  <c r="AZ218" i="3"/>
  <c r="AX218" i="3"/>
  <c r="AW218" i="3"/>
  <c r="AV218" i="3"/>
  <c r="AC218" i="3"/>
  <c r="H218" i="3"/>
  <c r="G218" i="3"/>
  <c r="BL217" i="3"/>
  <c r="BK217" i="3"/>
  <c r="BJ217" i="3"/>
  <c r="BI217" i="3"/>
  <c r="BH217" i="3"/>
  <c r="BG217" i="3"/>
  <c r="BF217" i="3"/>
  <c r="BE217" i="3"/>
  <c r="BD217" i="3"/>
  <c r="BC217" i="3"/>
  <c r="BB217" i="3"/>
  <c r="BA217" i="3"/>
  <c r="AX217" i="3"/>
  <c r="AW217" i="3"/>
  <c r="AV217" i="3"/>
  <c r="AC217" i="3"/>
  <c r="H217" i="3"/>
  <c r="G217" i="3"/>
  <c r="BL216" i="3"/>
  <c r="BK216" i="3"/>
  <c r="BJ216" i="3"/>
  <c r="BI216" i="3"/>
  <c r="BH216" i="3"/>
  <c r="BG216" i="3"/>
  <c r="BF216" i="3"/>
  <c r="BE216" i="3"/>
  <c r="BD216" i="3"/>
  <c r="BC216" i="3"/>
  <c r="BB216" i="3"/>
  <c r="BA216" i="3"/>
  <c r="AZ216" i="3"/>
  <c r="AX216" i="3"/>
  <c r="AW216" i="3"/>
  <c r="AV216" i="3"/>
  <c r="AC216" i="3"/>
  <c r="H216" i="3"/>
  <c r="G216" i="3"/>
  <c r="BL215" i="3"/>
  <c r="BK215" i="3"/>
  <c r="BJ215" i="3"/>
  <c r="BI215" i="3"/>
  <c r="BH215" i="3"/>
  <c r="BG215" i="3"/>
  <c r="BF215" i="3"/>
  <c r="BE215" i="3"/>
  <c r="BD215" i="3"/>
  <c r="BC215" i="3"/>
  <c r="BB215" i="3"/>
  <c r="BA215" i="3"/>
  <c r="AX215" i="3"/>
  <c r="AW215" i="3"/>
  <c r="AV215" i="3"/>
  <c r="AC215" i="3"/>
  <c r="H215" i="3"/>
  <c r="G215" i="3"/>
  <c r="BL214" i="3"/>
  <c r="BK214" i="3"/>
  <c r="BJ214" i="3"/>
  <c r="BI214" i="3"/>
  <c r="BH214" i="3"/>
  <c r="BG214" i="3"/>
  <c r="BF214" i="3"/>
  <c r="BE214" i="3"/>
  <c r="BD214" i="3"/>
  <c r="BC214" i="3"/>
  <c r="BB214" i="3"/>
  <c r="BA214" i="3"/>
  <c r="AZ214" i="3"/>
  <c r="AX214" i="3"/>
  <c r="AW214" i="3"/>
  <c r="AV214" i="3"/>
  <c r="AC214" i="3"/>
  <c r="H214" i="3"/>
  <c r="G214" i="3"/>
  <c r="BL213"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G212" i="3"/>
  <c r="BL211" i="3"/>
  <c r="BK211" i="3"/>
  <c r="BJ211" i="3"/>
  <c r="BI211" i="3"/>
  <c r="BH211" i="3"/>
  <c r="BG211" i="3"/>
  <c r="BF211" i="3"/>
  <c r="BE211" i="3"/>
  <c r="BD211" i="3"/>
  <c r="BC211" i="3"/>
  <c r="BB211" i="3"/>
  <c r="BA211" i="3"/>
  <c r="AX211" i="3"/>
  <c r="AW211" i="3"/>
  <c r="AV211" i="3"/>
  <c r="AC211" i="3"/>
  <c r="H211" i="3"/>
  <c r="G211" i="3"/>
  <c r="BL210" i="3"/>
  <c r="BK210" i="3"/>
  <c r="BJ210" i="3"/>
  <c r="BI210" i="3"/>
  <c r="BH210" i="3"/>
  <c r="BG210" i="3"/>
  <c r="BF210" i="3"/>
  <c r="BE210" i="3"/>
  <c r="BD210" i="3"/>
  <c r="BC210" i="3"/>
  <c r="BB210" i="3"/>
  <c r="BA210" i="3"/>
  <c r="AZ210" i="3"/>
  <c r="AX210" i="3"/>
  <c r="AW210" i="3"/>
  <c r="AV210" i="3"/>
  <c r="AC210" i="3"/>
  <c r="H210" i="3"/>
  <c r="G210" i="3"/>
  <c r="BL209" i="3"/>
  <c r="BK209" i="3"/>
  <c r="BJ209" i="3"/>
  <c r="BI209" i="3"/>
  <c r="BH209" i="3"/>
  <c r="BG209" i="3"/>
  <c r="BF209" i="3"/>
  <c r="BE209" i="3"/>
  <c r="BD209" i="3"/>
  <c r="BC209" i="3"/>
  <c r="BB209" i="3"/>
  <c r="BA209" i="3"/>
  <c r="AX209" i="3"/>
  <c r="AW209" i="3"/>
  <c r="AV209" i="3"/>
  <c r="AC209" i="3"/>
  <c r="H209" i="3"/>
  <c r="G209" i="3"/>
  <c r="BL208" i="3"/>
  <c r="BK208" i="3"/>
  <c r="BJ208" i="3"/>
  <c r="BI208" i="3"/>
  <c r="BH208" i="3"/>
  <c r="BG208" i="3"/>
  <c r="BF208" i="3"/>
  <c r="BE208" i="3"/>
  <c r="BD208" i="3"/>
  <c r="BC208" i="3"/>
  <c r="BB208" i="3"/>
  <c r="BA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BA206" i="3"/>
  <c r="AZ206" i="3"/>
  <c r="AX206" i="3"/>
  <c r="AW206" i="3"/>
  <c r="AV206" i="3"/>
  <c r="AC206" i="3"/>
  <c r="H206" i="3"/>
  <c r="G206" i="3"/>
  <c r="BL205" i="3"/>
  <c r="BK205" i="3"/>
  <c r="BJ205" i="3"/>
  <c r="BI205" i="3"/>
  <c r="BH205" i="3"/>
  <c r="BG205" i="3"/>
  <c r="BF205" i="3"/>
  <c r="BE205" i="3"/>
  <c r="BD205" i="3"/>
  <c r="BC205" i="3"/>
  <c r="BB205" i="3"/>
  <c r="BA205" i="3"/>
  <c r="AX205" i="3"/>
  <c r="AW205" i="3"/>
  <c r="AV205" i="3"/>
  <c r="AC205" i="3"/>
  <c r="H205" i="3"/>
  <c r="G205" i="3"/>
  <c r="BL388" i="3"/>
  <c r="BK388" i="3"/>
  <c r="BJ388" i="3"/>
  <c r="BI388" i="3"/>
  <c r="BH388" i="3"/>
  <c r="BG388" i="3"/>
  <c r="BF388" i="3"/>
  <c r="BE388" i="3"/>
  <c r="BD388" i="3"/>
  <c r="BC388" i="3"/>
  <c r="BB388" i="3"/>
  <c r="BA388" i="3"/>
  <c r="AX388" i="3"/>
  <c r="AW388" i="3"/>
  <c r="AV388" i="3"/>
  <c r="AC388" i="3"/>
  <c r="H388" i="3"/>
  <c r="G388" i="3"/>
  <c r="BL387" i="3"/>
  <c r="BK387" i="3"/>
  <c r="BJ387" i="3"/>
  <c r="BI387" i="3"/>
  <c r="BH387" i="3"/>
  <c r="BG387" i="3"/>
  <c r="BF387" i="3"/>
  <c r="BE387" i="3"/>
  <c r="BD387" i="3"/>
  <c r="BC387" i="3"/>
  <c r="BB387" i="3"/>
  <c r="BA387" i="3"/>
  <c r="AZ387" i="3"/>
  <c r="AX387" i="3"/>
  <c r="AW387" i="3"/>
  <c r="AV387" i="3"/>
  <c r="AC387" i="3"/>
  <c r="H387" i="3"/>
  <c r="G387" i="3"/>
  <c r="BL386" i="3"/>
  <c r="BK386" i="3"/>
  <c r="BJ386" i="3"/>
  <c r="BI386" i="3"/>
  <c r="BH386" i="3"/>
  <c r="BG386" i="3"/>
  <c r="BF386" i="3"/>
  <c r="BE386" i="3"/>
  <c r="BD386" i="3"/>
  <c r="BC386" i="3"/>
  <c r="BB386" i="3"/>
  <c r="BA386" i="3"/>
  <c r="AZ386" i="3"/>
  <c r="AX386" i="3"/>
  <c r="AW386" i="3"/>
  <c r="AV386" i="3"/>
  <c r="AC386" i="3"/>
  <c r="H386" i="3"/>
  <c r="G386" i="3"/>
  <c r="BL385" i="3"/>
  <c r="BK385" i="3"/>
  <c r="BJ385" i="3"/>
  <c r="BI385" i="3"/>
  <c r="BH385" i="3"/>
  <c r="BG385" i="3"/>
  <c r="BF385" i="3"/>
  <c r="BE385" i="3"/>
  <c r="BD385" i="3"/>
  <c r="BC385" i="3"/>
  <c r="BB385" i="3"/>
  <c r="BA385" i="3"/>
  <c r="AX385" i="3"/>
  <c r="AW385" i="3"/>
  <c r="AV385" i="3"/>
  <c r="AC385" i="3"/>
  <c r="H385" i="3"/>
  <c r="BL384" i="3"/>
  <c r="BK384" i="3"/>
  <c r="BJ384" i="3"/>
  <c r="BI384" i="3"/>
  <c r="BH384" i="3"/>
  <c r="BG384" i="3"/>
  <c r="BF384" i="3"/>
  <c r="BE384" i="3"/>
  <c r="BD384" i="3"/>
  <c r="BC384" i="3"/>
  <c r="BB384" i="3"/>
  <c r="BA384" i="3"/>
  <c r="AZ384" i="3"/>
  <c r="AX384" i="3"/>
  <c r="AW384" i="3"/>
  <c r="AV384" i="3"/>
  <c r="AC384" i="3"/>
  <c r="H384" i="3"/>
  <c r="BK383" i="3"/>
  <c r="BJ383" i="3"/>
  <c r="BI383" i="3"/>
  <c r="BH383" i="3"/>
  <c r="BG383" i="3"/>
  <c r="BF383" i="3"/>
  <c r="BE383" i="3"/>
  <c r="BD383" i="3"/>
  <c r="BC383" i="3"/>
  <c r="BB383" i="3"/>
  <c r="BA383" i="3"/>
  <c r="AX383" i="3"/>
  <c r="AW383" i="3"/>
  <c r="AV383" i="3"/>
  <c r="AC383" i="3"/>
  <c r="H383" i="3"/>
  <c r="G383" i="3"/>
  <c r="BL382"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G381" i="3"/>
  <c r="BL380"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L376"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BA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BA371" i="3"/>
  <c r="AX371" i="3"/>
  <c r="AW371" i="3"/>
  <c r="AV371" i="3"/>
  <c r="AC371" i="3"/>
  <c r="H371" i="3"/>
  <c r="BK370" i="3"/>
  <c r="BJ370" i="3"/>
  <c r="BI370" i="3"/>
  <c r="BH370" i="3"/>
  <c r="BG370" i="3"/>
  <c r="BF370" i="3"/>
  <c r="BE370" i="3"/>
  <c r="BD370" i="3"/>
  <c r="BC370" i="3"/>
  <c r="BB370" i="3"/>
  <c r="AX370" i="3"/>
  <c r="AW370" i="3"/>
  <c r="AV370" i="3"/>
  <c r="AC370" i="3"/>
  <c r="H370" i="3"/>
  <c r="G370" i="3"/>
  <c r="BL369" i="3"/>
  <c r="BK369" i="3"/>
  <c r="BJ369" i="3"/>
  <c r="BI369" i="3"/>
  <c r="BH369" i="3"/>
  <c r="BG369" i="3"/>
  <c r="BF369" i="3"/>
  <c r="BE369" i="3"/>
  <c r="BD369" i="3"/>
  <c r="BC369" i="3"/>
  <c r="BB369" i="3"/>
  <c r="BA369" i="3"/>
  <c r="AX369" i="3"/>
  <c r="AW369" i="3"/>
  <c r="AV369" i="3"/>
  <c r="AC369" i="3"/>
  <c r="H369" i="3"/>
  <c r="BL368" i="3"/>
  <c r="BK368" i="3"/>
  <c r="BJ368" i="3"/>
  <c r="BI368" i="3"/>
  <c r="BH368" i="3"/>
  <c r="BG368" i="3"/>
  <c r="BF368" i="3"/>
  <c r="BE368" i="3"/>
  <c r="BD368" i="3"/>
  <c r="BC368" i="3"/>
  <c r="BB368" i="3"/>
  <c r="BA368" i="3"/>
  <c r="AZ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L364"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L360"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BA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G352" i="3"/>
  <c r="BL351" i="3"/>
  <c r="BK351" i="3"/>
  <c r="BJ351" i="3"/>
  <c r="BI351" i="3"/>
  <c r="BH351" i="3"/>
  <c r="BG351" i="3"/>
  <c r="BF351" i="3"/>
  <c r="BE351" i="3"/>
  <c r="BD351" i="3"/>
  <c r="BC351" i="3"/>
  <c r="BB351" i="3"/>
  <c r="BA351" i="3"/>
  <c r="AX351" i="3"/>
  <c r="AW351" i="3"/>
  <c r="AV351" i="3"/>
  <c r="AC351" i="3"/>
  <c r="H351" i="3"/>
  <c r="BL350" i="3"/>
  <c r="BK350" i="3"/>
  <c r="BJ350" i="3"/>
  <c r="BI350" i="3"/>
  <c r="BH350" i="3"/>
  <c r="BG350" i="3"/>
  <c r="BF350" i="3"/>
  <c r="BE350" i="3"/>
  <c r="BD350" i="3"/>
  <c r="BC350" i="3"/>
  <c r="BB350" i="3"/>
  <c r="BA350" i="3"/>
  <c r="AX350" i="3"/>
  <c r="AW350" i="3"/>
  <c r="AV350" i="3"/>
  <c r="AC350" i="3"/>
  <c r="H350" i="3"/>
  <c r="BK349" i="3"/>
  <c r="BJ349" i="3"/>
  <c r="BI349" i="3"/>
  <c r="BH349" i="3"/>
  <c r="BG349" i="3"/>
  <c r="BF349" i="3"/>
  <c r="BE349" i="3"/>
  <c r="BD349" i="3"/>
  <c r="BC349" i="3"/>
  <c r="BB349" i="3"/>
  <c r="BA349" i="3"/>
  <c r="AX349" i="3"/>
  <c r="AW349" i="3"/>
  <c r="AV349" i="3"/>
  <c r="AC349" i="3"/>
  <c r="H349" i="3"/>
  <c r="G349" i="3"/>
  <c r="BL348"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G347" i="3"/>
  <c r="BL346"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G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BA341" i="3"/>
  <c r="AX341" i="3"/>
  <c r="AW341" i="3"/>
  <c r="AV341" i="3"/>
  <c r="AC341" i="3"/>
  <c r="H341" i="3"/>
  <c r="G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G336" i="3"/>
  <c r="BL335" i="3"/>
  <c r="BK335" i="3"/>
  <c r="BJ335" i="3"/>
  <c r="BI335" i="3"/>
  <c r="BH335" i="3"/>
  <c r="BG335" i="3"/>
  <c r="BF335" i="3"/>
  <c r="BE335" i="3"/>
  <c r="BD335" i="3"/>
  <c r="BC335" i="3"/>
  <c r="BB335" i="3"/>
  <c r="BA335" i="3"/>
  <c r="AX335" i="3"/>
  <c r="AW335" i="3"/>
  <c r="AV335" i="3"/>
  <c r="AC335" i="3"/>
  <c r="H335" i="3"/>
  <c r="BL334" i="3"/>
  <c r="BK334" i="3"/>
  <c r="BJ334" i="3"/>
  <c r="BI334" i="3"/>
  <c r="BH334" i="3"/>
  <c r="BG334" i="3"/>
  <c r="BF334" i="3"/>
  <c r="BE334" i="3"/>
  <c r="BD334" i="3"/>
  <c r="BC334" i="3"/>
  <c r="BB334" i="3"/>
  <c r="BA334" i="3"/>
  <c r="AX334" i="3"/>
  <c r="AW334" i="3"/>
  <c r="AV334" i="3"/>
  <c r="AC334" i="3"/>
  <c r="H334" i="3"/>
  <c r="BK333" i="3"/>
  <c r="BJ333" i="3"/>
  <c r="BI333" i="3"/>
  <c r="BH333" i="3"/>
  <c r="BG333" i="3"/>
  <c r="BF333" i="3"/>
  <c r="BE333" i="3"/>
  <c r="BD333" i="3"/>
  <c r="BC333" i="3"/>
  <c r="BB333" i="3"/>
  <c r="BA333" i="3"/>
  <c r="AX333" i="3"/>
  <c r="AW333" i="3"/>
  <c r="AV333" i="3"/>
  <c r="AC333" i="3"/>
  <c r="H333" i="3"/>
  <c r="G333" i="3"/>
  <c r="BL332"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G331" i="3"/>
  <c r="BL330"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G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L326"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L318" i="3"/>
  <c r="BK318" i="3"/>
  <c r="BJ318" i="3"/>
  <c r="BI318" i="3"/>
  <c r="BH318" i="3"/>
  <c r="BG318" i="3"/>
  <c r="BF318" i="3"/>
  <c r="BE318" i="3"/>
  <c r="BD318" i="3"/>
  <c r="BC318" i="3"/>
  <c r="BB318" i="3"/>
  <c r="BA318" i="3"/>
  <c r="AX318" i="3"/>
  <c r="AW318" i="3"/>
  <c r="AV318" i="3"/>
  <c r="AC318" i="3"/>
  <c r="H318" i="3"/>
  <c r="BK317" i="3"/>
  <c r="BJ317" i="3"/>
  <c r="BI317" i="3"/>
  <c r="BH317" i="3"/>
  <c r="BG317" i="3"/>
  <c r="BF317" i="3"/>
  <c r="BE317" i="3"/>
  <c r="BD317" i="3"/>
  <c r="BC317" i="3"/>
  <c r="BB317" i="3"/>
  <c r="BA317" i="3"/>
  <c r="AX317" i="3"/>
  <c r="AW317" i="3"/>
  <c r="AV317" i="3"/>
  <c r="AC317" i="3"/>
  <c r="H317" i="3"/>
  <c r="G317" i="3"/>
  <c r="BL316"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G315" i="3"/>
  <c r="BL314"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G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BA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BA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BA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L480" i="3"/>
  <c r="BK480" i="3"/>
  <c r="BJ480" i="3"/>
  <c r="BI480" i="3"/>
  <c r="BH480" i="3"/>
  <c r="BG480" i="3"/>
  <c r="BF480" i="3"/>
  <c r="BE480" i="3"/>
  <c r="BD480" i="3"/>
  <c r="BC480" i="3"/>
  <c r="BB480" i="3"/>
  <c r="BA480" i="3"/>
  <c r="AZ480" i="3"/>
  <c r="AX480" i="3"/>
  <c r="AW480" i="3"/>
  <c r="AV480" i="3"/>
  <c r="AC480" i="3"/>
  <c r="H480" i="3"/>
  <c r="G480" i="3"/>
  <c r="BL479" i="3"/>
  <c r="BK479" i="3"/>
  <c r="BJ479" i="3"/>
  <c r="BI479" i="3"/>
  <c r="BH479" i="3"/>
  <c r="BG479" i="3"/>
  <c r="BF479" i="3"/>
  <c r="BE479" i="3"/>
  <c r="BD479" i="3"/>
  <c r="BC479" i="3"/>
  <c r="BB479" i="3"/>
  <c r="BA479" i="3"/>
  <c r="AX479" i="3"/>
  <c r="AW479" i="3"/>
  <c r="AV479" i="3"/>
  <c r="AC479" i="3"/>
  <c r="H479" i="3"/>
  <c r="G479" i="3"/>
  <c r="BL478" i="3"/>
  <c r="BK478" i="3"/>
  <c r="BJ478" i="3"/>
  <c r="BI478" i="3"/>
  <c r="BH478" i="3"/>
  <c r="BG478" i="3"/>
  <c r="BF478" i="3"/>
  <c r="BE478" i="3"/>
  <c r="BD478" i="3"/>
  <c r="BC478" i="3"/>
  <c r="BB478" i="3"/>
  <c r="BA478" i="3"/>
  <c r="AZ478" i="3"/>
  <c r="AX478" i="3"/>
  <c r="AW478" i="3"/>
  <c r="AV478" i="3"/>
  <c r="AC478" i="3"/>
  <c r="H478" i="3"/>
  <c r="G478" i="3"/>
  <c r="BL477" i="3"/>
  <c r="BK477" i="3"/>
  <c r="BJ477" i="3"/>
  <c r="BI477" i="3"/>
  <c r="BH477" i="3"/>
  <c r="BG477" i="3"/>
  <c r="BF477" i="3"/>
  <c r="BE477" i="3"/>
  <c r="BD477" i="3"/>
  <c r="BC477" i="3"/>
  <c r="BB477" i="3"/>
  <c r="BA477" i="3"/>
  <c r="AX477" i="3"/>
  <c r="AW477" i="3"/>
  <c r="AV477" i="3"/>
  <c r="AC477" i="3"/>
  <c r="H477" i="3"/>
  <c r="G477" i="3"/>
  <c r="BL476" i="3"/>
  <c r="BK476" i="3"/>
  <c r="BJ476" i="3"/>
  <c r="BI476" i="3"/>
  <c r="BH476" i="3"/>
  <c r="BG476" i="3"/>
  <c r="BF476" i="3"/>
  <c r="BE476" i="3"/>
  <c r="BD476" i="3"/>
  <c r="BC476" i="3"/>
  <c r="BB476" i="3"/>
  <c r="BA476" i="3"/>
  <c r="AZ476" i="3"/>
  <c r="AX476" i="3"/>
  <c r="AW476" i="3"/>
  <c r="AV476" i="3"/>
  <c r="AC476" i="3"/>
  <c r="H476" i="3"/>
  <c r="G476" i="3"/>
  <c r="BL475" i="3"/>
  <c r="BK475" i="3"/>
  <c r="BJ475" i="3"/>
  <c r="BI475" i="3"/>
  <c r="BH475" i="3"/>
  <c r="BG475" i="3"/>
  <c r="BF475" i="3"/>
  <c r="BE475" i="3"/>
  <c r="BD475" i="3"/>
  <c r="BC475" i="3"/>
  <c r="BB475" i="3"/>
  <c r="BA475" i="3"/>
  <c r="AX475" i="3"/>
  <c r="AW475" i="3"/>
  <c r="AV475" i="3"/>
  <c r="AC475" i="3"/>
  <c r="H475" i="3"/>
  <c r="G475" i="3"/>
  <c r="BL474" i="3"/>
  <c r="BK474" i="3"/>
  <c r="BJ474" i="3"/>
  <c r="BI474" i="3"/>
  <c r="BH474" i="3"/>
  <c r="BG474" i="3"/>
  <c r="BF474" i="3"/>
  <c r="BE474" i="3"/>
  <c r="BD474" i="3"/>
  <c r="BC474" i="3"/>
  <c r="BB474" i="3"/>
  <c r="BA474" i="3"/>
  <c r="AX474" i="3"/>
  <c r="AW474" i="3"/>
  <c r="AV474" i="3"/>
  <c r="AC474" i="3"/>
  <c r="H474" i="3"/>
  <c r="G474" i="3"/>
  <c r="BL473" i="3"/>
  <c r="BK473" i="3"/>
  <c r="BJ473" i="3"/>
  <c r="BI473" i="3"/>
  <c r="BH473" i="3"/>
  <c r="BG473" i="3"/>
  <c r="BF473" i="3"/>
  <c r="BE473" i="3"/>
  <c r="BD473" i="3"/>
  <c r="BC473" i="3"/>
  <c r="BB473" i="3"/>
  <c r="BA473" i="3"/>
  <c r="AX473" i="3"/>
  <c r="AW473" i="3"/>
  <c r="AV473" i="3"/>
  <c r="AC473" i="3"/>
  <c r="H473" i="3"/>
  <c r="G473" i="3"/>
  <c r="BL472" i="3"/>
  <c r="BK472" i="3"/>
  <c r="BJ472" i="3"/>
  <c r="BI472" i="3"/>
  <c r="BH472" i="3"/>
  <c r="BG472" i="3"/>
  <c r="BF472" i="3"/>
  <c r="BE472" i="3"/>
  <c r="BD472" i="3"/>
  <c r="BC472" i="3"/>
  <c r="BB472" i="3"/>
  <c r="BA472" i="3"/>
  <c r="AZ472" i="3"/>
  <c r="AX472" i="3"/>
  <c r="AW472" i="3"/>
  <c r="AV472" i="3"/>
  <c r="AC472" i="3"/>
  <c r="H472" i="3"/>
  <c r="G472" i="3"/>
  <c r="BL471" i="3"/>
  <c r="BK471" i="3"/>
  <c r="BJ471" i="3"/>
  <c r="BI471" i="3"/>
  <c r="BH471" i="3"/>
  <c r="BG471" i="3"/>
  <c r="BF471" i="3"/>
  <c r="BE471" i="3"/>
  <c r="BD471" i="3"/>
  <c r="BC471" i="3"/>
  <c r="BB471" i="3"/>
  <c r="BA471" i="3"/>
  <c r="AX471" i="3"/>
  <c r="AW471" i="3"/>
  <c r="AV471" i="3"/>
  <c r="AC471" i="3"/>
  <c r="H471" i="3"/>
  <c r="G471" i="3"/>
  <c r="BL470" i="3"/>
  <c r="BK470" i="3"/>
  <c r="BJ470" i="3"/>
  <c r="BI470" i="3"/>
  <c r="BH470" i="3"/>
  <c r="BG470" i="3"/>
  <c r="BF470" i="3"/>
  <c r="BE470" i="3"/>
  <c r="BD470" i="3"/>
  <c r="BC470" i="3"/>
  <c r="BB470" i="3"/>
  <c r="BA470" i="3"/>
  <c r="AX470" i="3"/>
  <c r="AW470" i="3"/>
  <c r="AV470" i="3"/>
  <c r="AC470" i="3"/>
  <c r="H470" i="3"/>
  <c r="G470" i="3"/>
  <c r="BL469" i="3"/>
  <c r="BK469" i="3"/>
  <c r="BJ469" i="3"/>
  <c r="BI469" i="3"/>
  <c r="BH469" i="3"/>
  <c r="BG469" i="3"/>
  <c r="BF469" i="3"/>
  <c r="BE469" i="3"/>
  <c r="BD469" i="3"/>
  <c r="BC469" i="3"/>
  <c r="BB469" i="3"/>
  <c r="BA469" i="3"/>
  <c r="AX469" i="3"/>
  <c r="AW469" i="3"/>
  <c r="AV469" i="3"/>
  <c r="AC469" i="3"/>
  <c r="H469" i="3"/>
  <c r="G469" i="3"/>
  <c r="BL468" i="3"/>
  <c r="BK468" i="3"/>
  <c r="BJ468" i="3"/>
  <c r="BI468" i="3"/>
  <c r="BH468" i="3"/>
  <c r="BG468" i="3"/>
  <c r="BF468" i="3"/>
  <c r="BE468" i="3"/>
  <c r="BD468" i="3"/>
  <c r="BC468" i="3"/>
  <c r="BB468" i="3"/>
  <c r="BA468" i="3"/>
  <c r="AZ468" i="3"/>
  <c r="AX468" i="3"/>
  <c r="AW468" i="3"/>
  <c r="AV468" i="3"/>
  <c r="AC468" i="3"/>
  <c r="H468" i="3"/>
  <c r="G468" i="3"/>
  <c r="BL467" i="3"/>
  <c r="BK467" i="3"/>
  <c r="BJ467" i="3"/>
  <c r="BI467" i="3"/>
  <c r="BH467" i="3"/>
  <c r="BG467" i="3"/>
  <c r="BF467" i="3"/>
  <c r="BE467" i="3"/>
  <c r="BD467" i="3"/>
  <c r="BC467" i="3"/>
  <c r="BB467" i="3"/>
  <c r="BA467" i="3"/>
  <c r="AX467" i="3"/>
  <c r="AW467" i="3"/>
  <c r="AV467" i="3"/>
  <c r="AC467" i="3"/>
  <c r="H467" i="3"/>
  <c r="G467" i="3"/>
  <c r="BL466" i="3"/>
  <c r="BK466" i="3"/>
  <c r="BJ466" i="3"/>
  <c r="BI466" i="3"/>
  <c r="BH466" i="3"/>
  <c r="BG466" i="3"/>
  <c r="BF466" i="3"/>
  <c r="BE466" i="3"/>
  <c r="BD466" i="3"/>
  <c r="BC466" i="3"/>
  <c r="BB466" i="3"/>
  <c r="BA466" i="3"/>
  <c r="AX466" i="3"/>
  <c r="AW466" i="3"/>
  <c r="AV466" i="3"/>
  <c r="AC466" i="3"/>
  <c r="H466" i="3"/>
  <c r="G466" i="3"/>
  <c r="BL465" i="3"/>
  <c r="BK465" i="3"/>
  <c r="BJ465" i="3"/>
  <c r="BI465" i="3"/>
  <c r="BH465" i="3"/>
  <c r="BG465" i="3"/>
  <c r="BF465" i="3"/>
  <c r="BE465" i="3"/>
  <c r="BD465" i="3"/>
  <c r="BC465" i="3"/>
  <c r="BB465" i="3"/>
  <c r="BA465" i="3"/>
  <c r="AZ465" i="3"/>
  <c r="AX465" i="3"/>
  <c r="AW465" i="3"/>
  <c r="AV465" i="3"/>
  <c r="AC465" i="3"/>
  <c r="H465" i="3"/>
  <c r="G465" i="3"/>
  <c r="BL464" i="3"/>
  <c r="BK464" i="3"/>
  <c r="BJ464" i="3"/>
  <c r="BI464" i="3"/>
  <c r="BH464" i="3"/>
  <c r="BG464" i="3"/>
  <c r="BF464" i="3"/>
  <c r="BE464" i="3"/>
  <c r="BD464" i="3"/>
  <c r="BC464" i="3"/>
  <c r="BB464" i="3"/>
  <c r="BA464" i="3"/>
  <c r="AZ464" i="3"/>
  <c r="AX464" i="3"/>
  <c r="AW464" i="3"/>
  <c r="AV464" i="3"/>
  <c r="AC464" i="3"/>
  <c r="H464" i="3"/>
  <c r="G464" i="3"/>
  <c r="BL463" i="3"/>
  <c r="BK463" i="3"/>
  <c r="BJ463" i="3"/>
  <c r="BI463" i="3"/>
  <c r="BH463" i="3"/>
  <c r="BG463" i="3"/>
  <c r="BF463" i="3"/>
  <c r="BE463" i="3"/>
  <c r="BD463" i="3"/>
  <c r="BC463" i="3"/>
  <c r="BB463" i="3"/>
  <c r="BA463" i="3"/>
  <c r="AX463" i="3"/>
  <c r="AW463" i="3"/>
  <c r="AV463" i="3"/>
  <c r="AC463" i="3"/>
  <c r="H463" i="3"/>
  <c r="G463" i="3"/>
  <c r="BL462" i="3"/>
  <c r="BK462" i="3"/>
  <c r="BJ462" i="3"/>
  <c r="BI462" i="3"/>
  <c r="BH462" i="3"/>
  <c r="BG462" i="3"/>
  <c r="BF462" i="3"/>
  <c r="BE462" i="3"/>
  <c r="BD462" i="3"/>
  <c r="BC462" i="3"/>
  <c r="BB462" i="3"/>
  <c r="BA462" i="3"/>
  <c r="AZ462" i="3"/>
  <c r="AX462" i="3"/>
  <c r="AW462" i="3"/>
  <c r="AV462" i="3"/>
  <c r="AC462" i="3"/>
  <c r="H462" i="3"/>
  <c r="G462" i="3"/>
  <c r="BL461" i="3"/>
  <c r="BK461" i="3"/>
  <c r="BJ461" i="3"/>
  <c r="BI461" i="3"/>
  <c r="BH461" i="3"/>
  <c r="BG461" i="3"/>
  <c r="BF461" i="3"/>
  <c r="BE461" i="3"/>
  <c r="BD461" i="3"/>
  <c r="BC461" i="3"/>
  <c r="BB461" i="3"/>
  <c r="BA461" i="3"/>
  <c r="AX461" i="3"/>
  <c r="AW461" i="3"/>
  <c r="AV461" i="3"/>
  <c r="AC461" i="3"/>
  <c r="H461" i="3"/>
  <c r="G461" i="3"/>
  <c r="BL460" i="3"/>
  <c r="BK460" i="3"/>
  <c r="BJ460" i="3"/>
  <c r="BI460" i="3"/>
  <c r="BH460" i="3"/>
  <c r="BG460" i="3"/>
  <c r="BF460" i="3"/>
  <c r="BE460" i="3"/>
  <c r="BD460" i="3"/>
  <c r="BC460" i="3"/>
  <c r="BB460" i="3"/>
  <c r="BA460" i="3"/>
  <c r="AZ460" i="3"/>
  <c r="AX460" i="3"/>
  <c r="AW460" i="3"/>
  <c r="AV460" i="3"/>
  <c r="AC460" i="3"/>
  <c r="H460" i="3"/>
  <c r="G460" i="3"/>
  <c r="BL459" i="3"/>
  <c r="BK459" i="3"/>
  <c r="BJ459" i="3"/>
  <c r="BI459" i="3"/>
  <c r="BH459" i="3"/>
  <c r="BG459" i="3"/>
  <c r="BF459" i="3"/>
  <c r="BE459" i="3"/>
  <c r="BD459" i="3"/>
  <c r="BC459" i="3"/>
  <c r="BB459" i="3"/>
  <c r="BA459" i="3"/>
  <c r="AX459" i="3"/>
  <c r="AW459" i="3"/>
  <c r="AV459" i="3"/>
  <c r="AC459" i="3"/>
  <c r="H459" i="3"/>
  <c r="G459" i="3"/>
  <c r="BL458" i="3"/>
  <c r="BK458" i="3"/>
  <c r="BJ458" i="3"/>
  <c r="BI458" i="3"/>
  <c r="BH458" i="3"/>
  <c r="BG458" i="3"/>
  <c r="BF458" i="3"/>
  <c r="BE458" i="3"/>
  <c r="BD458" i="3"/>
  <c r="BC458" i="3"/>
  <c r="BB458" i="3"/>
  <c r="BA458" i="3"/>
  <c r="AX458" i="3"/>
  <c r="AW458" i="3"/>
  <c r="AV458" i="3"/>
  <c r="AC458" i="3"/>
  <c r="H458" i="3"/>
  <c r="G458" i="3"/>
  <c r="BL457" i="3"/>
  <c r="BK457" i="3"/>
  <c r="BJ457" i="3"/>
  <c r="BI457" i="3"/>
  <c r="BH457" i="3"/>
  <c r="BG457" i="3"/>
  <c r="BF457" i="3"/>
  <c r="BE457" i="3"/>
  <c r="BD457" i="3"/>
  <c r="BC457" i="3"/>
  <c r="BB457" i="3"/>
  <c r="BA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G455" i="3"/>
  <c r="BL454" i="3"/>
  <c r="BK454" i="3"/>
  <c r="BJ454" i="3"/>
  <c r="BI454" i="3"/>
  <c r="BH454" i="3"/>
  <c r="BG454" i="3"/>
  <c r="BF454" i="3"/>
  <c r="BE454" i="3"/>
  <c r="BD454" i="3"/>
  <c r="BC454" i="3"/>
  <c r="BB454" i="3"/>
  <c r="BA454" i="3"/>
  <c r="AX454" i="3"/>
  <c r="AW454" i="3"/>
  <c r="AV454" i="3"/>
  <c r="AC454" i="3"/>
  <c r="H454" i="3"/>
  <c r="G454" i="3"/>
  <c r="BL453" i="3"/>
  <c r="BK453" i="3"/>
  <c r="BJ453" i="3"/>
  <c r="BI453" i="3"/>
  <c r="BH453" i="3"/>
  <c r="BG453" i="3"/>
  <c r="BF453" i="3"/>
  <c r="BE453" i="3"/>
  <c r="BD453" i="3"/>
  <c r="BC453" i="3"/>
  <c r="BB453" i="3"/>
  <c r="BA453" i="3"/>
  <c r="AZ453" i="3"/>
  <c r="AX453" i="3"/>
  <c r="AW453" i="3"/>
  <c r="AV453" i="3"/>
  <c r="AC453" i="3"/>
  <c r="H453" i="3"/>
  <c r="G453" i="3"/>
  <c r="BL452" i="3"/>
  <c r="BK452" i="3"/>
  <c r="BJ452" i="3"/>
  <c r="BI452" i="3"/>
  <c r="BH452" i="3"/>
  <c r="BG452" i="3"/>
  <c r="BF452" i="3"/>
  <c r="BE452" i="3"/>
  <c r="BD452" i="3"/>
  <c r="BC452" i="3"/>
  <c r="BB452" i="3"/>
  <c r="BA452" i="3"/>
  <c r="AX452" i="3"/>
  <c r="AW452" i="3"/>
  <c r="AV452" i="3"/>
  <c r="AC452" i="3"/>
  <c r="H452" i="3"/>
  <c r="G452" i="3"/>
  <c r="BL451" i="3"/>
  <c r="BK451" i="3"/>
  <c r="BJ451" i="3"/>
  <c r="BI451" i="3"/>
  <c r="BH451" i="3"/>
  <c r="BG451" i="3"/>
  <c r="BF451" i="3"/>
  <c r="BE451" i="3"/>
  <c r="BD451" i="3"/>
  <c r="BC451" i="3"/>
  <c r="BB451" i="3"/>
  <c r="BA451" i="3"/>
  <c r="AX451" i="3"/>
  <c r="AW451" i="3"/>
  <c r="AV451" i="3"/>
  <c r="AC451" i="3"/>
  <c r="H451" i="3"/>
  <c r="G451" i="3"/>
  <c r="BL450" i="3"/>
  <c r="BK450" i="3"/>
  <c r="BJ450" i="3"/>
  <c r="BI450" i="3"/>
  <c r="BH450" i="3"/>
  <c r="BG450" i="3"/>
  <c r="BF450" i="3"/>
  <c r="BE450" i="3"/>
  <c r="BD450" i="3"/>
  <c r="BC450" i="3"/>
  <c r="BB450" i="3"/>
  <c r="BA450" i="3"/>
  <c r="AX450" i="3"/>
  <c r="AW450" i="3"/>
  <c r="AV450" i="3"/>
  <c r="AC450" i="3"/>
  <c r="H450" i="3"/>
  <c r="G450" i="3"/>
  <c r="BL449" i="3"/>
  <c r="BK449" i="3"/>
  <c r="BJ449" i="3"/>
  <c r="BI449" i="3"/>
  <c r="BH449" i="3"/>
  <c r="BG449" i="3"/>
  <c r="BF449" i="3"/>
  <c r="BE449" i="3"/>
  <c r="BD449" i="3"/>
  <c r="BC449" i="3"/>
  <c r="BB449" i="3"/>
  <c r="BA449" i="3"/>
  <c r="AX449" i="3"/>
  <c r="AW449" i="3"/>
  <c r="AV449" i="3"/>
  <c r="AC449" i="3"/>
  <c r="H449" i="3"/>
  <c r="G449" i="3"/>
  <c r="BL448" i="3"/>
  <c r="BK448" i="3"/>
  <c r="BJ448" i="3"/>
  <c r="BI448" i="3"/>
  <c r="BH448" i="3"/>
  <c r="BG448" i="3"/>
  <c r="BF448" i="3"/>
  <c r="BE448" i="3"/>
  <c r="BD448" i="3"/>
  <c r="BC448" i="3"/>
  <c r="BB448" i="3"/>
  <c r="BA448" i="3"/>
  <c r="AZ448" i="3"/>
  <c r="AX448" i="3"/>
  <c r="AW448" i="3"/>
  <c r="AV448" i="3"/>
  <c r="AC448" i="3"/>
  <c r="H448" i="3"/>
  <c r="G448" i="3"/>
  <c r="BL447" i="3"/>
  <c r="BK447" i="3"/>
  <c r="BJ447" i="3"/>
  <c r="BI447" i="3"/>
  <c r="BH447" i="3"/>
  <c r="BG447" i="3"/>
  <c r="BF447" i="3"/>
  <c r="BE447" i="3"/>
  <c r="BD447" i="3"/>
  <c r="BC447" i="3"/>
  <c r="BB447" i="3"/>
  <c r="BA447" i="3"/>
  <c r="AZ447" i="3"/>
  <c r="AX447" i="3"/>
  <c r="AW447" i="3"/>
  <c r="AV447" i="3"/>
  <c r="AC447" i="3"/>
  <c r="H447" i="3"/>
  <c r="G447" i="3"/>
  <c r="BL446" i="3"/>
  <c r="BK446" i="3"/>
  <c r="BJ446" i="3"/>
  <c r="BI446" i="3"/>
  <c r="BH446" i="3"/>
  <c r="BG446" i="3"/>
  <c r="BF446" i="3"/>
  <c r="BE446" i="3"/>
  <c r="BD446" i="3"/>
  <c r="BC446" i="3"/>
  <c r="BB446" i="3"/>
  <c r="BA446" i="3"/>
  <c r="AX446" i="3"/>
  <c r="AW446" i="3"/>
  <c r="AV446" i="3"/>
  <c r="AC446" i="3"/>
  <c r="H446" i="3"/>
  <c r="G446" i="3"/>
  <c r="BL445" i="3"/>
  <c r="BK445" i="3"/>
  <c r="BJ445" i="3"/>
  <c r="BI445" i="3"/>
  <c r="BH445" i="3"/>
  <c r="BG445" i="3"/>
  <c r="BF445" i="3"/>
  <c r="BE445" i="3"/>
  <c r="BD445" i="3"/>
  <c r="BC445" i="3"/>
  <c r="BB445" i="3"/>
  <c r="BA445" i="3"/>
  <c r="AZ445" i="3"/>
  <c r="AX445" i="3"/>
  <c r="AW445" i="3"/>
  <c r="AV445" i="3"/>
  <c r="AC445" i="3"/>
  <c r="H445" i="3"/>
  <c r="G445" i="3"/>
  <c r="BL444" i="3"/>
  <c r="BK444" i="3"/>
  <c r="BJ444" i="3"/>
  <c r="BI444" i="3"/>
  <c r="BH444" i="3"/>
  <c r="BG444" i="3"/>
  <c r="BF444" i="3"/>
  <c r="BE444" i="3"/>
  <c r="BD444" i="3"/>
  <c r="BC444" i="3"/>
  <c r="BB444" i="3"/>
  <c r="BA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G442" i="3"/>
  <c r="BL441" i="3"/>
  <c r="BK441" i="3"/>
  <c r="BJ441" i="3"/>
  <c r="BI441" i="3"/>
  <c r="BH441" i="3"/>
  <c r="BG441" i="3"/>
  <c r="BF441" i="3"/>
  <c r="BE441" i="3"/>
  <c r="BD441" i="3"/>
  <c r="BC441" i="3"/>
  <c r="BB441" i="3"/>
  <c r="BA441" i="3"/>
  <c r="AX441" i="3"/>
  <c r="AW441" i="3"/>
  <c r="AV441" i="3"/>
  <c r="AC441" i="3"/>
  <c r="H441" i="3"/>
  <c r="G441" i="3"/>
  <c r="BL440" i="3"/>
  <c r="BK440" i="3"/>
  <c r="BJ440" i="3"/>
  <c r="BI440" i="3"/>
  <c r="BH440" i="3"/>
  <c r="BG440" i="3"/>
  <c r="BF440" i="3"/>
  <c r="BE440" i="3"/>
  <c r="BD440" i="3"/>
  <c r="BC440" i="3"/>
  <c r="BB440" i="3"/>
  <c r="BA440" i="3"/>
  <c r="AZ440" i="3"/>
  <c r="AX440" i="3"/>
  <c r="AW440" i="3"/>
  <c r="AV440" i="3"/>
  <c r="AC440" i="3"/>
  <c r="H440" i="3"/>
  <c r="G440" i="3"/>
  <c r="BL439" i="3"/>
  <c r="BK439" i="3"/>
  <c r="BJ439" i="3"/>
  <c r="BI439" i="3"/>
  <c r="BH439" i="3"/>
  <c r="BG439" i="3"/>
  <c r="BF439" i="3"/>
  <c r="BE439" i="3"/>
  <c r="BD439" i="3"/>
  <c r="BC439" i="3"/>
  <c r="BB439" i="3"/>
  <c r="BA439" i="3"/>
  <c r="AX439" i="3"/>
  <c r="AW439" i="3"/>
  <c r="AV439" i="3"/>
  <c r="AC439" i="3"/>
  <c r="H439" i="3"/>
  <c r="G439" i="3"/>
  <c r="BL438" i="3"/>
  <c r="BK438" i="3"/>
  <c r="BJ438" i="3"/>
  <c r="BI438" i="3"/>
  <c r="BH438" i="3"/>
  <c r="BG438" i="3"/>
  <c r="BF438" i="3"/>
  <c r="BE438" i="3"/>
  <c r="BD438" i="3"/>
  <c r="BC438" i="3"/>
  <c r="BB438" i="3"/>
  <c r="BA438" i="3"/>
  <c r="AX438" i="3"/>
  <c r="AW438" i="3"/>
  <c r="AV438" i="3"/>
  <c r="AC438" i="3"/>
  <c r="H438" i="3"/>
  <c r="G438" i="3"/>
  <c r="BL437" i="3"/>
  <c r="BK437" i="3"/>
  <c r="BJ437" i="3"/>
  <c r="BI437" i="3"/>
  <c r="BH437" i="3"/>
  <c r="BG437" i="3"/>
  <c r="BF437" i="3"/>
  <c r="BE437" i="3"/>
  <c r="BD437" i="3"/>
  <c r="BC437" i="3"/>
  <c r="BB437" i="3"/>
  <c r="BA437" i="3"/>
  <c r="AX437" i="3"/>
  <c r="AW437" i="3"/>
  <c r="AV437" i="3"/>
  <c r="AC437" i="3"/>
  <c r="H437" i="3"/>
  <c r="G437" i="3"/>
  <c r="BL436" i="3"/>
  <c r="BK436" i="3"/>
  <c r="BJ436" i="3"/>
  <c r="BI436" i="3"/>
  <c r="BH436" i="3"/>
  <c r="BG436" i="3"/>
  <c r="BF436" i="3"/>
  <c r="BE436" i="3"/>
  <c r="BD436" i="3"/>
  <c r="BC436" i="3"/>
  <c r="BB436" i="3"/>
  <c r="BA436" i="3"/>
  <c r="AX436" i="3"/>
  <c r="AW436" i="3"/>
  <c r="AV436" i="3"/>
  <c r="AC436" i="3"/>
  <c r="H436" i="3"/>
  <c r="G436" i="3"/>
  <c r="BL435" i="3"/>
  <c r="BK435" i="3"/>
  <c r="BJ435" i="3"/>
  <c r="BI435" i="3"/>
  <c r="BH435" i="3"/>
  <c r="BG435" i="3"/>
  <c r="BF435" i="3"/>
  <c r="BE435" i="3"/>
  <c r="BD435" i="3"/>
  <c r="BC435" i="3"/>
  <c r="BB435" i="3"/>
  <c r="BA435" i="3"/>
  <c r="AZ435" i="3"/>
  <c r="AX435" i="3"/>
  <c r="AW435" i="3"/>
  <c r="AV435" i="3"/>
  <c r="AC435" i="3"/>
  <c r="H435" i="3"/>
  <c r="G435" i="3"/>
  <c r="BL434" i="3"/>
  <c r="BK434" i="3"/>
  <c r="BJ434" i="3"/>
  <c r="BI434" i="3"/>
  <c r="BH434" i="3"/>
  <c r="BG434" i="3"/>
  <c r="BF434" i="3"/>
  <c r="BE434" i="3"/>
  <c r="BD434" i="3"/>
  <c r="BC434" i="3"/>
  <c r="BB434" i="3"/>
  <c r="BA434" i="3"/>
  <c r="AX434" i="3"/>
  <c r="AW434" i="3"/>
  <c r="AV434" i="3"/>
  <c r="AC434" i="3"/>
  <c r="H434" i="3"/>
  <c r="G434" i="3"/>
  <c r="BL433"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G432" i="3"/>
  <c r="BL431" i="3"/>
  <c r="BK431" i="3"/>
  <c r="BJ431" i="3"/>
  <c r="BI431" i="3"/>
  <c r="BH431" i="3"/>
  <c r="BG431" i="3"/>
  <c r="BF431" i="3"/>
  <c r="BE431" i="3"/>
  <c r="BD431" i="3"/>
  <c r="BC431" i="3"/>
  <c r="BB431" i="3"/>
  <c r="BA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G430" i="3"/>
  <c r="BL429" i="3"/>
  <c r="BK429" i="3"/>
  <c r="BJ429" i="3"/>
  <c r="BI429" i="3"/>
  <c r="BH429" i="3"/>
  <c r="BG429" i="3"/>
  <c r="BF429" i="3"/>
  <c r="BE429" i="3"/>
  <c r="BD429" i="3"/>
  <c r="BC429" i="3"/>
  <c r="BB429" i="3"/>
  <c r="BA429" i="3"/>
  <c r="AZ429" i="3"/>
  <c r="AX429" i="3"/>
  <c r="AW429" i="3"/>
  <c r="AV429" i="3"/>
  <c r="AC429" i="3"/>
  <c r="H429" i="3"/>
  <c r="G429" i="3"/>
  <c r="BL428" i="3"/>
  <c r="BK428" i="3"/>
  <c r="BJ428" i="3"/>
  <c r="BI428" i="3"/>
  <c r="BH428" i="3"/>
  <c r="BG428" i="3"/>
  <c r="BF428" i="3"/>
  <c r="BE428" i="3"/>
  <c r="BD428" i="3"/>
  <c r="BC428" i="3"/>
  <c r="BB428" i="3"/>
  <c r="BA428" i="3"/>
  <c r="AX428" i="3"/>
  <c r="AW428" i="3"/>
  <c r="AV428" i="3"/>
  <c r="AC428" i="3"/>
  <c r="H428" i="3"/>
  <c r="G428" i="3"/>
  <c r="BL427" i="3"/>
  <c r="BK427" i="3"/>
  <c r="BJ427" i="3"/>
  <c r="BI427" i="3"/>
  <c r="BH427" i="3"/>
  <c r="BG427" i="3"/>
  <c r="BF427" i="3"/>
  <c r="BE427" i="3"/>
  <c r="BD427" i="3"/>
  <c r="BC427" i="3"/>
  <c r="BB427" i="3"/>
  <c r="BA427" i="3"/>
  <c r="AZ427" i="3"/>
  <c r="AX427" i="3"/>
  <c r="AW427" i="3"/>
  <c r="AV427" i="3"/>
  <c r="AC427" i="3"/>
  <c r="H427" i="3"/>
  <c r="G427" i="3"/>
  <c r="BL426" i="3"/>
  <c r="BK426" i="3"/>
  <c r="BJ426" i="3"/>
  <c r="BI426" i="3"/>
  <c r="BH426" i="3"/>
  <c r="BG426" i="3"/>
  <c r="BF426" i="3"/>
  <c r="BE426" i="3"/>
  <c r="BD426" i="3"/>
  <c r="BC426" i="3"/>
  <c r="BB426" i="3"/>
  <c r="BA426" i="3"/>
  <c r="AX426" i="3"/>
  <c r="AW426" i="3"/>
  <c r="AV426" i="3"/>
  <c r="AC426" i="3"/>
  <c r="H426" i="3"/>
  <c r="G426" i="3"/>
  <c r="BL425" i="3"/>
  <c r="BK425" i="3"/>
  <c r="BJ425" i="3"/>
  <c r="BI425" i="3"/>
  <c r="BH425" i="3"/>
  <c r="BG425" i="3"/>
  <c r="BF425" i="3"/>
  <c r="BE425" i="3"/>
  <c r="BD425" i="3"/>
  <c r="BC425" i="3"/>
  <c r="BB425" i="3"/>
  <c r="BA425" i="3"/>
  <c r="AZ425" i="3"/>
  <c r="AX425" i="3"/>
  <c r="AW425" i="3"/>
  <c r="AV425" i="3"/>
  <c r="AC425" i="3"/>
  <c r="H425" i="3"/>
  <c r="G425" i="3"/>
  <c r="BL424" i="3"/>
  <c r="BK424" i="3"/>
  <c r="BJ424" i="3"/>
  <c r="BI424" i="3"/>
  <c r="BH424" i="3"/>
  <c r="BG424" i="3"/>
  <c r="BF424" i="3"/>
  <c r="BE424" i="3"/>
  <c r="BD424" i="3"/>
  <c r="BC424" i="3"/>
  <c r="BB424" i="3"/>
  <c r="BA424" i="3"/>
  <c r="AX424" i="3"/>
  <c r="AW424" i="3"/>
  <c r="AV424" i="3"/>
  <c r="AC424" i="3"/>
  <c r="H424" i="3"/>
  <c r="G424" i="3"/>
  <c r="BL423" i="3"/>
  <c r="BK423" i="3"/>
  <c r="BJ423" i="3"/>
  <c r="BI423" i="3"/>
  <c r="BH423" i="3"/>
  <c r="BG423" i="3"/>
  <c r="BF423" i="3"/>
  <c r="BE423" i="3"/>
  <c r="BD423" i="3"/>
  <c r="BC423" i="3"/>
  <c r="BB423" i="3"/>
  <c r="BA423" i="3"/>
  <c r="AX423" i="3"/>
  <c r="AW423" i="3"/>
  <c r="AV423" i="3"/>
  <c r="AC423" i="3"/>
  <c r="H423" i="3"/>
  <c r="G423" i="3"/>
  <c r="BL422" i="3"/>
  <c r="BK422" i="3"/>
  <c r="BJ422" i="3"/>
  <c r="BI422" i="3"/>
  <c r="BH422" i="3"/>
  <c r="BG422" i="3"/>
  <c r="BF422" i="3"/>
  <c r="BE422" i="3"/>
  <c r="BD422" i="3"/>
  <c r="BC422" i="3"/>
  <c r="BB422" i="3"/>
  <c r="BA422" i="3"/>
  <c r="AX422" i="3"/>
  <c r="AW422" i="3"/>
  <c r="AV422" i="3"/>
  <c r="AC422" i="3"/>
  <c r="H422" i="3"/>
  <c r="G422" i="3"/>
  <c r="BL421" i="3"/>
  <c r="BK421" i="3"/>
  <c r="BJ421" i="3"/>
  <c r="BI421" i="3"/>
  <c r="BH421" i="3"/>
  <c r="BG421" i="3"/>
  <c r="BF421" i="3"/>
  <c r="BE421" i="3"/>
  <c r="BD421" i="3"/>
  <c r="BC421" i="3"/>
  <c r="BB421" i="3"/>
  <c r="BA421" i="3"/>
  <c r="AZ421" i="3"/>
  <c r="AX421" i="3"/>
  <c r="AW421" i="3"/>
  <c r="AV421" i="3"/>
  <c r="AC421" i="3"/>
  <c r="H421" i="3"/>
  <c r="G421" i="3"/>
  <c r="BL420" i="3"/>
  <c r="BK420" i="3"/>
  <c r="BJ420" i="3"/>
  <c r="BI420" i="3"/>
  <c r="BH420" i="3"/>
  <c r="BG420" i="3"/>
  <c r="BF420" i="3"/>
  <c r="BE420" i="3"/>
  <c r="BD420" i="3"/>
  <c r="BC420" i="3"/>
  <c r="BB420" i="3"/>
  <c r="BA420" i="3"/>
  <c r="AZ420" i="3"/>
  <c r="AX420" i="3"/>
  <c r="AW420" i="3"/>
  <c r="AV420" i="3"/>
  <c r="AC420" i="3"/>
  <c r="H420" i="3"/>
  <c r="G420" i="3"/>
  <c r="BL419" i="3"/>
  <c r="BK419" i="3"/>
  <c r="BJ419" i="3"/>
  <c r="BI419" i="3"/>
  <c r="BH419" i="3"/>
  <c r="BG419" i="3"/>
  <c r="BF419" i="3"/>
  <c r="BE419" i="3"/>
  <c r="BD419" i="3"/>
  <c r="BC419" i="3"/>
  <c r="BB419" i="3"/>
  <c r="BA419" i="3"/>
  <c r="AZ419" i="3"/>
  <c r="AX419" i="3"/>
  <c r="AW419" i="3"/>
  <c r="AV419" i="3"/>
  <c r="AC419" i="3"/>
  <c r="H419" i="3"/>
  <c r="G419" i="3"/>
  <c r="BL418" i="3"/>
  <c r="BK418" i="3"/>
  <c r="BJ418" i="3"/>
  <c r="BI418" i="3"/>
  <c r="BH418" i="3"/>
  <c r="BG418" i="3"/>
  <c r="BF418" i="3"/>
  <c r="BE418" i="3"/>
  <c r="BD418" i="3"/>
  <c r="BC418" i="3"/>
  <c r="BB418" i="3"/>
  <c r="BA418" i="3"/>
  <c r="AX418" i="3"/>
  <c r="AW418" i="3"/>
  <c r="AV418" i="3"/>
  <c r="AC418" i="3"/>
  <c r="H418" i="3"/>
  <c r="G418" i="3"/>
  <c r="BL417" i="3"/>
  <c r="BK417" i="3"/>
  <c r="BJ417" i="3"/>
  <c r="BI417" i="3"/>
  <c r="BH417" i="3"/>
  <c r="BG417" i="3"/>
  <c r="BF417" i="3"/>
  <c r="BE417" i="3"/>
  <c r="BD417" i="3"/>
  <c r="BC417" i="3"/>
  <c r="BB417" i="3"/>
  <c r="BA417" i="3"/>
  <c r="AZ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G416" i="3"/>
  <c r="BL415" i="3"/>
  <c r="BK415" i="3"/>
  <c r="BJ415" i="3"/>
  <c r="BI415" i="3"/>
  <c r="BH415" i="3"/>
  <c r="BG415" i="3"/>
  <c r="BF415" i="3"/>
  <c r="BE415" i="3"/>
  <c r="BD415" i="3"/>
  <c r="BC415" i="3"/>
  <c r="BB415" i="3"/>
  <c r="BA415" i="3"/>
  <c r="AX415" i="3"/>
  <c r="AW415" i="3"/>
  <c r="AV415" i="3"/>
  <c r="AC415" i="3"/>
  <c r="H415" i="3"/>
  <c r="G415" i="3"/>
  <c r="BL414" i="3"/>
  <c r="BK414" i="3"/>
  <c r="BJ414" i="3"/>
  <c r="BI414" i="3"/>
  <c r="BH414" i="3"/>
  <c r="BG414" i="3"/>
  <c r="BF414" i="3"/>
  <c r="BE414" i="3"/>
  <c r="BD414" i="3"/>
  <c r="BC414" i="3"/>
  <c r="BB414" i="3"/>
  <c r="BA414" i="3"/>
  <c r="AX414" i="3"/>
  <c r="AW414" i="3"/>
  <c r="AV414" i="3"/>
  <c r="AC414" i="3"/>
  <c r="H414" i="3"/>
  <c r="G414" i="3"/>
  <c r="BL413" i="3"/>
  <c r="BK413" i="3"/>
  <c r="BJ413" i="3"/>
  <c r="BI413" i="3"/>
  <c r="BH413" i="3"/>
  <c r="BG413" i="3"/>
  <c r="BF413" i="3"/>
  <c r="BE413" i="3"/>
  <c r="BD413" i="3"/>
  <c r="BC413" i="3"/>
  <c r="BB413" i="3"/>
  <c r="BA413" i="3"/>
  <c r="AX413" i="3"/>
  <c r="AW413" i="3"/>
  <c r="AV413" i="3"/>
  <c r="AC413" i="3"/>
  <c r="H413" i="3"/>
  <c r="G413" i="3"/>
  <c r="BL412" i="3"/>
  <c r="BK412" i="3"/>
  <c r="BJ412" i="3"/>
  <c r="BI412" i="3"/>
  <c r="BH412" i="3"/>
  <c r="BG412" i="3"/>
  <c r="BF412" i="3"/>
  <c r="BE412" i="3"/>
  <c r="BD412" i="3"/>
  <c r="BC412" i="3"/>
  <c r="BB412" i="3"/>
  <c r="BA412" i="3"/>
  <c r="AZ412" i="3"/>
  <c r="AX412" i="3"/>
  <c r="AW412" i="3"/>
  <c r="AV412" i="3"/>
  <c r="AC412" i="3"/>
  <c r="H412" i="3"/>
  <c r="G412" i="3"/>
  <c r="BL411" i="3"/>
  <c r="BK411" i="3"/>
  <c r="BJ411" i="3"/>
  <c r="BI411" i="3"/>
  <c r="BH411" i="3"/>
  <c r="BG411" i="3"/>
  <c r="BF411" i="3"/>
  <c r="BE411" i="3"/>
  <c r="BD411" i="3"/>
  <c r="BC411" i="3"/>
  <c r="BB411" i="3"/>
  <c r="BA411" i="3"/>
  <c r="AZ411" i="3"/>
  <c r="AX411" i="3"/>
  <c r="AW411" i="3"/>
  <c r="AV411" i="3"/>
  <c r="AC411" i="3"/>
  <c r="H411" i="3"/>
  <c r="G411" i="3"/>
  <c r="BL410" i="3"/>
  <c r="BK410" i="3"/>
  <c r="BJ410" i="3"/>
  <c r="BI410" i="3"/>
  <c r="BH410" i="3"/>
  <c r="BG410" i="3"/>
  <c r="BF410" i="3"/>
  <c r="BE410" i="3"/>
  <c r="BD410" i="3"/>
  <c r="BC410" i="3"/>
  <c r="BB410" i="3"/>
  <c r="BA410" i="3"/>
  <c r="AX410" i="3"/>
  <c r="AW410" i="3"/>
  <c r="AV410" i="3"/>
  <c r="AC410" i="3"/>
  <c r="H410" i="3"/>
  <c r="G410" i="3"/>
  <c r="BL409" i="3"/>
  <c r="BK409" i="3"/>
  <c r="BJ409" i="3"/>
  <c r="BI409" i="3"/>
  <c r="BH409" i="3"/>
  <c r="BG409" i="3"/>
  <c r="BF409" i="3"/>
  <c r="BE409" i="3"/>
  <c r="BD409" i="3"/>
  <c r="BC409" i="3"/>
  <c r="BB409" i="3"/>
  <c r="BA409" i="3"/>
  <c r="AZ409" i="3"/>
  <c r="AX409" i="3"/>
  <c r="AW409" i="3"/>
  <c r="AV409" i="3"/>
  <c r="AC409" i="3"/>
  <c r="H409" i="3"/>
  <c r="G409" i="3"/>
  <c r="BL408" i="3"/>
  <c r="BK408" i="3"/>
  <c r="BJ408" i="3"/>
  <c r="BI408" i="3"/>
  <c r="BH408" i="3"/>
  <c r="BG408" i="3"/>
  <c r="BF408" i="3"/>
  <c r="BE408" i="3"/>
  <c r="BD408" i="3"/>
  <c r="BC408" i="3"/>
  <c r="BB408" i="3"/>
  <c r="BA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L406" i="3"/>
  <c r="BK406" i="3"/>
  <c r="BJ406" i="3"/>
  <c r="BI406" i="3"/>
  <c r="BH406" i="3"/>
  <c r="BG406" i="3"/>
  <c r="BF406" i="3"/>
  <c r="BE406" i="3"/>
  <c r="BD406" i="3"/>
  <c r="BC406" i="3"/>
  <c r="BB406" i="3"/>
  <c r="BA406" i="3"/>
  <c r="AZ406" i="3"/>
  <c r="AX406" i="3"/>
  <c r="AW406" i="3"/>
  <c r="AV406" i="3"/>
  <c r="AC406" i="3"/>
  <c r="H406" i="3"/>
  <c r="G406" i="3"/>
  <c r="BL405" i="3"/>
  <c r="BK405" i="3"/>
  <c r="BJ405" i="3"/>
  <c r="BI405" i="3"/>
  <c r="BH405" i="3"/>
  <c r="BG405" i="3"/>
  <c r="BF405" i="3"/>
  <c r="BE405" i="3"/>
  <c r="BD405" i="3"/>
  <c r="BC405" i="3"/>
  <c r="BB405" i="3"/>
  <c r="BA405" i="3"/>
  <c r="AZ405" i="3"/>
  <c r="AX405" i="3"/>
  <c r="AW405" i="3"/>
  <c r="AV405" i="3"/>
  <c r="AC405" i="3"/>
  <c r="H405" i="3"/>
  <c r="G405" i="3"/>
  <c r="BL404" i="3"/>
  <c r="BK404" i="3"/>
  <c r="BJ404" i="3"/>
  <c r="BI404" i="3"/>
  <c r="BH404" i="3"/>
  <c r="BG404" i="3"/>
  <c r="BF404" i="3"/>
  <c r="BE404" i="3"/>
  <c r="BD404" i="3"/>
  <c r="BC404" i="3"/>
  <c r="BB404" i="3"/>
  <c r="BA404" i="3"/>
  <c r="AZ404" i="3"/>
  <c r="AX404" i="3"/>
  <c r="AW404" i="3"/>
  <c r="AV404" i="3"/>
  <c r="AC404" i="3"/>
  <c r="H404" i="3"/>
  <c r="G404" i="3"/>
  <c r="BL403" i="3"/>
  <c r="BK403" i="3"/>
  <c r="BJ403" i="3"/>
  <c r="BI403" i="3"/>
  <c r="BH403" i="3"/>
  <c r="BG403" i="3"/>
  <c r="BF403" i="3"/>
  <c r="BE403" i="3"/>
  <c r="BD403" i="3"/>
  <c r="BC403" i="3"/>
  <c r="BB403" i="3"/>
  <c r="BA403" i="3"/>
  <c r="AX403" i="3"/>
  <c r="AW403" i="3"/>
  <c r="AV403" i="3"/>
  <c r="AC403" i="3"/>
  <c r="H403" i="3"/>
  <c r="G403" i="3"/>
  <c r="BL402" i="3"/>
  <c r="BK402" i="3"/>
  <c r="BJ402" i="3"/>
  <c r="BI402" i="3"/>
  <c r="BH402" i="3"/>
  <c r="BG402" i="3"/>
  <c r="BF402" i="3"/>
  <c r="BE402" i="3"/>
  <c r="BD402" i="3"/>
  <c r="BC402" i="3"/>
  <c r="BB402" i="3"/>
  <c r="BA402" i="3"/>
  <c r="AZ402" i="3"/>
  <c r="AX402" i="3"/>
  <c r="AW402" i="3"/>
  <c r="AV402" i="3"/>
  <c r="AC402" i="3"/>
  <c r="H402" i="3"/>
  <c r="G402" i="3"/>
  <c r="BL401" i="3"/>
  <c r="BK401" i="3"/>
  <c r="BJ401" i="3"/>
  <c r="BI401" i="3"/>
  <c r="BH401" i="3"/>
  <c r="BG401" i="3"/>
  <c r="BF401" i="3"/>
  <c r="BE401" i="3"/>
  <c r="BD401" i="3"/>
  <c r="BC401" i="3"/>
  <c r="BB401" i="3"/>
  <c r="BA401" i="3"/>
  <c r="AX401" i="3"/>
  <c r="AW401" i="3"/>
  <c r="AV401" i="3"/>
  <c r="AC401" i="3"/>
  <c r="H401" i="3"/>
  <c r="G401" i="3"/>
  <c r="BL400" i="3"/>
  <c r="BK400" i="3"/>
  <c r="BJ400" i="3"/>
  <c r="BI400" i="3"/>
  <c r="BH400" i="3"/>
  <c r="BG400" i="3"/>
  <c r="BF400" i="3"/>
  <c r="BE400" i="3"/>
  <c r="BD400" i="3"/>
  <c r="BC400" i="3"/>
  <c r="BB400" i="3"/>
  <c r="BA400" i="3"/>
  <c r="AZ400" i="3"/>
  <c r="AX400" i="3"/>
  <c r="AW400" i="3"/>
  <c r="AV400" i="3"/>
  <c r="AC400" i="3"/>
  <c r="H400" i="3"/>
  <c r="G400" i="3"/>
  <c r="BL399" i="3"/>
  <c r="BK399" i="3"/>
  <c r="BJ399" i="3"/>
  <c r="BI399" i="3"/>
  <c r="BH399" i="3"/>
  <c r="BG399" i="3"/>
  <c r="BF399" i="3"/>
  <c r="BE399" i="3"/>
  <c r="BD399" i="3"/>
  <c r="BC399" i="3"/>
  <c r="BB399" i="3"/>
  <c r="BA399" i="3"/>
  <c r="AX399" i="3"/>
  <c r="AW399" i="3"/>
  <c r="AV399" i="3"/>
  <c r="AC399" i="3"/>
  <c r="H399" i="3"/>
  <c r="G399" i="3"/>
  <c r="BL398" i="3"/>
  <c r="BK398" i="3"/>
  <c r="BJ398" i="3"/>
  <c r="BI398" i="3"/>
  <c r="BH398" i="3"/>
  <c r="BG398" i="3"/>
  <c r="BF398" i="3"/>
  <c r="BE398" i="3"/>
  <c r="BD398" i="3"/>
  <c r="BC398" i="3"/>
  <c r="BB398" i="3"/>
  <c r="BA398" i="3"/>
  <c r="AX398" i="3"/>
  <c r="AW398" i="3"/>
  <c r="AV398" i="3"/>
  <c r="AC398" i="3"/>
  <c r="H398" i="3"/>
  <c r="G398" i="3"/>
  <c r="BL397" i="3"/>
  <c r="BK397" i="3"/>
  <c r="BJ397" i="3"/>
  <c r="BI397" i="3"/>
  <c r="BH397" i="3"/>
  <c r="BG397" i="3"/>
  <c r="BF397" i="3"/>
  <c r="BE397" i="3"/>
  <c r="BD397" i="3"/>
  <c r="BC397" i="3"/>
  <c r="BB397" i="3"/>
  <c r="BA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G395" i="3"/>
  <c r="BL394"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X392" i="3"/>
  <c r="AW392" i="3"/>
  <c r="AV392" i="3"/>
  <c r="AC392" i="3"/>
  <c r="H392" i="3"/>
  <c r="G392" i="3"/>
  <c r="BL391" i="3"/>
  <c r="BK391" i="3"/>
  <c r="BJ391" i="3"/>
  <c r="BI391" i="3"/>
  <c r="BH391" i="3"/>
  <c r="BG391" i="3"/>
  <c r="BF391" i="3"/>
  <c r="BE391" i="3"/>
  <c r="BD391" i="3"/>
  <c r="BC391" i="3"/>
  <c r="BB391" i="3"/>
  <c r="BA391" i="3"/>
  <c r="AX391" i="3"/>
  <c r="AW391" i="3"/>
  <c r="AV391" i="3"/>
  <c r="AC391" i="3"/>
  <c r="H391" i="3"/>
  <c r="G391" i="3"/>
  <c r="BL390" i="3"/>
  <c r="BK390" i="3"/>
  <c r="BJ390" i="3"/>
  <c r="BI390" i="3"/>
  <c r="BH390" i="3"/>
  <c r="BG390" i="3"/>
  <c r="BF390" i="3"/>
  <c r="BE390" i="3"/>
  <c r="BD390" i="3"/>
  <c r="BC390" i="3"/>
  <c r="BB390" i="3"/>
  <c r="BA390" i="3"/>
  <c r="AX390" i="3"/>
  <c r="AW390" i="3"/>
  <c r="AV390" i="3"/>
  <c r="AC390" i="3"/>
  <c r="H390" i="3"/>
  <c r="G390"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1"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19" i="3"/>
  <c r="BF2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8" i="3"/>
  <c r="BH18" i="3"/>
  <c r="BI18" i="3"/>
  <c r="BJ18" i="3"/>
  <c r="BK18" i="3"/>
  <c r="H19" i="3"/>
  <c r="AC19" i="3"/>
  <c r="G19" i="3"/>
  <c r="BB19" i="3"/>
  <c r="BC19" i="3"/>
  <c r="BD19" i="3"/>
  <c r="BE19" i="3"/>
  <c r="BG19" i="3"/>
  <c r="BH19" i="3"/>
  <c r="BI19" i="3"/>
  <c r="BJ19" i="3"/>
  <c r="BK19" i="3"/>
  <c r="H20" i="3"/>
  <c r="AC20" i="3"/>
  <c r="BB20" i="3"/>
  <c r="BC20" i="3"/>
  <c r="BD20" i="3"/>
  <c r="BE20" i="3"/>
  <c r="BG20" i="3"/>
  <c r="BH20" i="3"/>
  <c r="BI20" i="3"/>
  <c r="BJ20" i="3"/>
  <c r="BK20" i="3"/>
  <c r="H481" i="3"/>
  <c r="AC481" i="3"/>
  <c r="G481" i="3"/>
  <c r="BB481" i="3"/>
  <c r="BC481" i="3"/>
  <c r="BD481" i="3"/>
  <c r="BE481" i="3"/>
  <c r="BG481" i="3"/>
  <c r="BH481" i="3"/>
  <c r="BI481" i="3"/>
  <c r="BJ481" i="3"/>
  <c r="BK481" i="3"/>
  <c r="H482" i="3"/>
  <c r="AC482" i="3"/>
  <c r="G482" i="3"/>
  <c r="BB482" i="3"/>
  <c r="BC482" i="3"/>
  <c r="BD482" i="3"/>
  <c r="BE482" i="3"/>
  <c r="BG482" i="3"/>
  <c r="BH482" i="3"/>
  <c r="BI482" i="3"/>
  <c r="BJ482" i="3"/>
  <c r="BK482" i="3"/>
  <c r="H483" i="3"/>
  <c r="AC483" i="3"/>
  <c r="BB483" i="3"/>
  <c r="BC483" i="3"/>
  <c r="BD483" i="3"/>
  <c r="BE483" i="3"/>
  <c r="BG483" i="3"/>
  <c r="BH483" i="3"/>
  <c r="BI483" i="3"/>
  <c r="BJ483" i="3"/>
  <c r="BK483" i="3"/>
  <c r="H484" i="3"/>
  <c r="AC484" i="3"/>
  <c r="BB484" i="3"/>
  <c r="BC484" i="3"/>
  <c r="BD484" i="3"/>
  <c r="BE484" i="3"/>
  <c r="BG484" i="3"/>
  <c r="BH484" i="3"/>
  <c r="BI484" i="3"/>
  <c r="BJ484" i="3"/>
  <c r="BK484" i="3"/>
  <c r="H485" i="3"/>
  <c r="AC485" i="3"/>
  <c r="BB485" i="3"/>
  <c r="BC485" i="3"/>
  <c r="BD485" i="3"/>
  <c r="BE485" i="3"/>
  <c r="BG485" i="3"/>
  <c r="BH485" i="3"/>
  <c r="BI485" i="3"/>
  <c r="BJ485" i="3"/>
  <c r="BK485" i="3"/>
  <c r="H486" i="3"/>
  <c r="AC486" i="3"/>
  <c r="G486" i="3"/>
  <c r="BB486" i="3"/>
  <c r="BC486" i="3"/>
  <c r="BD486" i="3"/>
  <c r="BE486" i="3"/>
  <c r="BG486" i="3"/>
  <c r="BH486" i="3"/>
  <c r="BI486" i="3"/>
  <c r="BJ486" i="3"/>
  <c r="BK486" i="3"/>
  <c r="H487" i="3"/>
  <c r="AC487" i="3"/>
  <c r="G487" i="3"/>
  <c r="BB487" i="3"/>
  <c r="BC487" i="3"/>
  <c r="BD487" i="3"/>
  <c r="BE487" i="3"/>
  <c r="BG487" i="3"/>
  <c r="BH487" i="3"/>
  <c r="BI487" i="3"/>
  <c r="BJ487" i="3"/>
  <c r="BK487" i="3"/>
  <c r="H488" i="3"/>
  <c r="AC488" i="3"/>
  <c r="BB488" i="3"/>
  <c r="BC488" i="3"/>
  <c r="BD488" i="3"/>
  <c r="BE488" i="3"/>
  <c r="BG488" i="3"/>
  <c r="BH488" i="3"/>
  <c r="BI488" i="3"/>
  <c r="BJ488" i="3"/>
  <c r="BK488" i="3"/>
  <c r="H489" i="3"/>
  <c r="AC489" i="3"/>
  <c r="G489" i="3"/>
  <c r="BB489" i="3"/>
  <c r="BC489" i="3"/>
  <c r="BD489" i="3"/>
  <c r="BE489" i="3"/>
  <c r="BG489" i="3"/>
  <c r="BH489" i="3"/>
  <c r="BI489" i="3"/>
  <c r="BJ489" i="3"/>
  <c r="BK489" i="3"/>
  <c r="H490" i="3"/>
  <c r="AC490" i="3"/>
  <c r="G490" i="3"/>
  <c r="BB490" i="3"/>
  <c r="BC490" i="3"/>
  <c r="BD490" i="3"/>
  <c r="BE490" i="3"/>
  <c r="BG490" i="3"/>
  <c r="BH490" i="3"/>
  <c r="BI490" i="3"/>
  <c r="BJ490" i="3"/>
  <c r="BK490" i="3"/>
  <c r="H491" i="3"/>
  <c r="AC491" i="3"/>
  <c r="BB491" i="3"/>
  <c r="BC491" i="3"/>
  <c r="BD491" i="3"/>
  <c r="BE491" i="3"/>
  <c r="BG491" i="3"/>
  <c r="BH491" i="3"/>
  <c r="BI491" i="3"/>
  <c r="BJ491" i="3"/>
  <c r="BK491" i="3"/>
  <c r="H492" i="3"/>
  <c r="AC492" i="3"/>
  <c r="BB492" i="3"/>
  <c r="BC492" i="3"/>
  <c r="BD492" i="3"/>
  <c r="BE492" i="3"/>
  <c r="BG492" i="3"/>
  <c r="BH492" i="3"/>
  <c r="BI492" i="3"/>
  <c r="BJ492" i="3"/>
  <c r="BK492" i="3"/>
  <c r="H493" i="3"/>
  <c r="AC493" i="3"/>
  <c r="BB493" i="3"/>
  <c r="BC493" i="3"/>
  <c r="BD493" i="3"/>
  <c r="BE493" i="3"/>
  <c r="BG493" i="3"/>
  <c r="BH493" i="3"/>
  <c r="BI493" i="3"/>
  <c r="BJ493" i="3"/>
  <c r="BK493" i="3"/>
  <c r="H494" i="3"/>
  <c r="BB494" i="3"/>
  <c r="BC494" i="3"/>
  <c r="BD494" i="3"/>
  <c r="BE494" i="3"/>
  <c r="BG494" i="3"/>
  <c r="BH494" i="3"/>
  <c r="BI494" i="3"/>
  <c r="BJ494" i="3"/>
  <c r="BK494" i="3"/>
  <c r="H495" i="3"/>
  <c r="AC495" i="3"/>
  <c r="G495" i="3"/>
  <c r="BB495" i="3"/>
  <c r="BC495" i="3"/>
  <c r="BD495" i="3"/>
  <c r="BE495" i="3"/>
  <c r="BG495" i="3"/>
  <c r="BH495" i="3"/>
  <c r="BI495" i="3"/>
  <c r="BJ495" i="3"/>
  <c r="BK495" i="3"/>
  <c r="H496" i="3"/>
  <c r="AC496" i="3"/>
  <c r="G496" i="3"/>
  <c r="BB496" i="3"/>
  <c r="BC496" i="3"/>
  <c r="BD496" i="3"/>
  <c r="BE496" i="3"/>
  <c r="BG496" i="3"/>
  <c r="BH496" i="3"/>
  <c r="BI496" i="3"/>
  <c r="BJ496" i="3"/>
  <c r="BK496" i="3"/>
  <c r="H497" i="3"/>
  <c r="AC497" i="3"/>
  <c r="G497" i="3"/>
  <c r="BB497" i="3"/>
  <c r="BC497" i="3"/>
  <c r="BD497" i="3"/>
  <c r="BE497" i="3"/>
  <c r="BG497" i="3"/>
  <c r="BH497" i="3"/>
  <c r="BI497" i="3"/>
  <c r="BJ497" i="3"/>
  <c r="BK497" i="3"/>
  <c r="H498" i="3"/>
  <c r="AC498" i="3"/>
  <c r="BB498" i="3"/>
  <c r="BC498" i="3"/>
  <c r="BD498" i="3"/>
  <c r="BE498" i="3"/>
  <c r="BG498" i="3"/>
  <c r="BH498" i="3"/>
  <c r="BI498" i="3"/>
  <c r="BJ498" i="3"/>
  <c r="BK498" i="3"/>
  <c r="H499" i="3"/>
  <c r="AC499" i="3"/>
  <c r="BB499" i="3"/>
  <c r="BC499" i="3"/>
  <c r="BD499" i="3"/>
  <c r="BE499" i="3"/>
  <c r="BG499" i="3"/>
  <c r="BH499" i="3"/>
  <c r="BI499" i="3"/>
  <c r="BJ499" i="3"/>
  <c r="BK499" i="3"/>
  <c r="H500" i="3"/>
  <c r="AC500" i="3"/>
  <c r="G500" i="3"/>
  <c r="BB500" i="3"/>
  <c r="BC500" i="3"/>
  <c r="BD500" i="3"/>
  <c r="BE500" i="3"/>
  <c r="BG500" i="3"/>
  <c r="BH500" i="3"/>
  <c r="BI500" i="3"/>
  <c r="BJ500" i="3"/>
  <c r="BK500" i="3"/>
  <c r="H501" i="3"/>
  <c r="AC501" i="3"/>
  <c r="BB501" i="3"/>
  <c r="BC501" i="3"/>
  <c r="BD501" i="3"/>
  <c r="BE501" i="3"/>
  <c r="BG501" i="3"/>
  <c r="BH501" i="3"/>
  <c r="BI501" i="3"/>
  <c r="BJ501" i="3"/>
  <c r="BK501" i="3"/>
  <c r="H502" i="3"/>
  <c r="AC502" i="3"/>
  <c r="BB502" i="3"/>
  <c r="BC502" i="3"/>
  <c r="BD502" i="3"/>
  <c r="BE502" i="3"/>
  <c r="BG502" i="3"/>
  <c r="BH502" i="3"/>
  <c r="BI502" i="3"/>
  <c r="BJ502" i="3"/>
  <c r="BK502" i="3"/>
  <c r="H503" i="3"/>
  <c r="AC503" i="3"/>
  <c r="G503" i="3"/>
  <c r="BB503" i="3"/>
  <c r="BC503" i="3"/>
  <c r="BD503" i="3"/>
  <c r="BE503" i="3"/>
  <c r="BG503" i="3"/>
  <c r="BH503" i="3"/>
  <c r="BI503" i="3"/>
  <c r="BJ503" i="3"/>
  <c r="BK503" i="3"/>
  <c r="H504" i="3"/>
  <c r="AC504" i="3"/>
  <c r="G504" i="3"/>
  <c r="BB504" i="3"/>
  <c r="BC504" i="3"/>
  <c r="BD504" i="3"/>
  <c r="BE504" i="3"/>
  <c r="BG504" i="3"/>
  <c r="BH504" i="3"/>
  <c r="BI504" i="3"/>
  <c r="BJ504" i="3"/>
  <c r="BK504" i="3"/>
  <c r="H505" i="3"/>
  <c r="AC505" i="3"/>
  <c r="G505" i="3"/>
  <c r="BB505" i="3"/>
  <c r="BC505" i="3"/>
  <c r="BD505" i="3"/>
  <c r="BE505" i="3"/>
  <c r="BG505" i="3"/>
  <c r="BH505" i="3"/>
  <c r="BI505" i="3"/>
  <c r="BJ505" i="3"/>
  <c r="BK505" i="3"/>
  <c r="H506" i="3"/>
  <c r="BB506" i="3"/>
  <c r="BC506" i="3"/>
  <c r="BD506" i="3"/>
  <c r="BE506" i="3"/>
  <c r="BG506" i="3"/>
  <c r="BH506" i="3"/>
  <c r="BI506" i="3"/>
  <c r="BJ506" i="3"/>
  <c r="BK506" i="3"/>
  <c r="H507" i="3"/>
  <c r="AC507" i="3"/>
  <c r="BB507" i="3"/>
  <c r="BC507" i="3"/>
  <c r="BD507" i="3"/>
  <c r="BE507" i="3"/>
  <c r="BG507" i="3"/>
  <c r="BH507" i="3"/>
  <c r="BI507" i="3"/>
  <c r="BJ507" i="3"/>
  <c r="BK507" i="3"/>
  <c r="H508" i="3"/>
  <c r="AC508" i="3"/>
  <c r="BB508" i="3"/>
  <c r="BC508" i="3"/>
  <c r="BD508" i="3"/>
  <c r="BE508" i="3"/>
  <c r="BG508" i="3"/>
  <c r="BH508" i="3"/>
  <c r="BI508" i="3"/>
  <c r="BJ508" i="3"/>
  <c r="BK508" i="3"/>
  <c r="H509" i="3"/>
  <c r="AC509" i="3"/>
  <c r="G509" i="3"/>
  <c r="BB509" i="3"/>
  <c r="BC509" i="3"/>
  <c r="BD509" i="3"/>
  <c r="BE509" i="3"/>
  <c r="BG509" i="3"/>
  <c r="BH509" i="3"/>
  <c r="BI509" i="3"/>
  <c r="BJ509" i="3"/>
  <c r="BK509" i="3"/>
  <c r="H510" i="3"/>
  <c r="AC510" i="3"/>
  <c r="BB510" i="3"/>
  <c r="BC510" i="3"/>
  <c r="BD510" i="3"/>
  <c r="BE510" i="3"/>
  <c r="BG510" i="3"/>
  <c r="BH510" i="3"/>
  <c r="BI510" i="3"/>
  <c r="BJ510" i="3"/>
  <c r="BK510" i="3"/>
  <c r="H511" i="3"/>
  <c r="AC511" i="3"/>
  <c r="G511" i="3"/>
  <c r="BB511" i="3"/>
  <c r="BC511" i="3"/>
  <c r="BD511" i="3"/>
  <c r="BE511" i="3"/>
  <c r="BG511" i="3"/>
  <c r="BH511" i="3"/>
  <c r="BI511" i="3"/>
  <c r="BJ511" i="3"/>
  <c r="BK511" i="3"/>
  <c r="H512" i="3"/>
  <c r="AC512" i="3"/>
  <c r="G512" i="3"/>
  <c r="BB512" i="3"/>
  <c r="BC512" i="3"/>
  <c r="BD512" i="3"/>
  <c r="BE512" i="3"/>
  <c r="BG512" i="3"/>
  <c r="BH512" i="3"/>
  <c r="BI512" i="3"/>
  <c r="BJ512" i="3"/>
  <c r="BK512" i="3"/>
  <c r="H513" i="3"/>
  <c r="AC513" i="3"/>
  <c r="BB513" i="3"/>
  <c r="BC513" i="3"/>
  <c r="BD513" i="3"/>
  <c r="BE513" i="3"/>
  <c r="BG513" i="3"/>
  <c r="BH513" i="3"/>
  <c r="BI513" i="3"/>
  <c r="BJ513" i="3"/>
  <c r="BK513" i="3"/>
  <c r="H514" i="3"/>
  <c r="AC514" i="3"/>
  <c r="BB514" i="3"/>
  <c r="BC514" i="3"/>
  <c r="BD514" i="3"/>
  <c r="BE514" i="3"/>
  <c r="BG514" i="3"/>
  <c r="BH514" i="3"/>
  <c r="BI514" i="3"/>
  <c r="BJ514" i="3"/>
  <c r="BK514" i="3"/>
  <c r="H515" i="3"/>
  <c r="AC515" i="3"/>
  <c r="BB515" i="3"/>
  <c r="BC515" i="3"/>
  <c r="BD515" i="3"/>
  <c r="BE515" i="3"/>
  <c r="BG515" i="3"/>
  <c r="BH515" i="3"/>
  <c r="BI515" i="3"/>
  <c r="BJ515" i="3"/>
  <c r="BK515" i="3"/>
  <c r="H516" i="3"/>
  <c r="AC516" i="3"/>
  <c r="G516" i="3"/>
  <c r="BB516" i="3"/>
  <c r="BC516" i="3"/>
  <c r="BD516" i="3"/>
  <c r="BE516" i="3"/>
  <c r="BG516" i="3"/>
  <c r="BH516" i="3"/>
  <c r="BI516" i="3"/>
  <c r="BJ516" i="3"/>
  <c r="BK516" i="3"/>
  <c r="H517" i="3"/>
  <c r="AC517" i="3"/>
  <c r="BB517" i="3"/>
  <c r="BC517" i="3"/>
  <c r="BD517" i="3"/>
  <c r="BE517" i="3"/>
  <c r="BG517" i="3"/>
  <c r="BH517" i="3"/>
  <c r="BI517" i="3"/>
  <c r="BJ517" i="3"/>
  <c r="BK517" i="3"/>
  <c r="H518" i="3"/>
  <c r="AC518" i="3"/>
  <c r="BB518" i="3"/>
  <c r="BC518" i="3"/>
  <c r="BD518" i="3"/>
  <c r="BE518" i="3"/>
  <c r="BG518" i="3"/>
  <c r="BH518" i="3"/>
  <c r="BI518" i="3"/>
  <c r="BJ518" i="3"/>
  <c r="BK518" i="3"/>
  <c r="H519" i="3"/>
  <c r="AC519" i="3"/>
  <c r="G519" i="3"/>
  <c r="BB519" i="3"/>
  <c r="BC519" i="3"/>
  <c r="BD519" i="3"/>
  <c r="BE519" i="3"/>
  <c r="BG519" i="3"/>
  <c r="BH519" i="3"/>
  <c r="BI519" i="3"/>
  <c r="BJ519" i="3"/>
  <c r="BK519" i="3"/>
  <c r="H520" i="3"/>
  <c r="AC520" i="3"/>
  <c r="G520" i="3"/>
  <c r="BB520" i="3"/>
  <c r="BC520" i="3"/>
  <c r="BD520" i="3"/>
  <c r="BE520" i="3"/>
  <c r="BG520" i="3"/>
  <c r="BH520" i="3"/>
  <c r="BI520" i="3"/>
  <c r="BJ520" i="3"/>
  <c r="BK520" i="3"/>
  <c r="H521" i="3"/>
  <c r="AC521" i="3"/>
  <c r="BB521" i="3"/>
  <c r="BC521" i="3"/>
  <c r="BD521" i="3"/>
  <c r="BE521" i="3"/>
  <c r="BG521" i="3"/>
  <c r="BH521" i="3"/>
  <c r="BI521" i="3"/>
  <c r="BJ521" i="3"/>
  <c r="BK521" i="3"/>
  <c r="H522" i="3"/>
  <c r="AC522" i="3"/>
  <c r="BB522" i="3"/>
  <c r="BC522" i="3"/>
  <c r="BD522" i="3"/>
  <c r="BE522" i="3"/>
  <c r="BG522" i="3"/>
  <c r="BH522" i="3"/>
  <c r="BI522" i="3"/>
  <c r="BJ522" i="3"/>
  <c r="BK522" i="3"/>
  <c r="H523" i="3"/>
  <c r="AC523" i="3"/>
  <c r="BB523" i="3"/>
  <c r="BC523" i="3"/>
  <c r="BD523" i="3"/>
  <c r="BE523" i="3"/>
  <c r="BG523" i="3"/>
  <c r="BH523" i="3"/>
  <c r="BI523" i="3"/>
  <c r="BJ523" i="3"/>
  <c r="BK523" i="3"/>
  <c r="H524" i="3"/>
  <c r="AC524" i="3"/>
  <c r="G524" i="3"/>
  <c r="BB524" i="3"/>
  <c r="BC524" i="3"/>
  <c r="BD524" i="3"/>
  <c r="BE524" i="3"/>
  <c r="BG524" i="3"/>
  <c r="BH524" i="3"/>
  <c r="BI524" i="3"/>
  <c r="BJ524" i="3"/>
  <c r="BK524" i="3"/>
  <c r="H525" i="3"/>
  <c r="AC525" i="3"/>
  <c r="G525" i="3"/>
  <c r="BB525" i="3"/>
  <c r="BC525" i="3"/>
  <c r="BD525" i="3"/>
  <c r="BE525" i="3"/>
  <c r="BG525" i="3"/>
  <c r="BH525" i="3"/>
  <c r="BI525" i="3"/>
  <c r="BJ525" i="3"/>
  <c r="BK525" i="3"/>
  <c r="H526" i="3"/>
  <c r="AC526" i="3"/>
  <c r="BB526" i="3"/>
  <c r="BC526" i="3"/>
  <c r="BD526" i="3"/>
  <c r="BE526" i="3"/>
  <c r="BG526" i="3"/>
  <c r="BH526" i="3"/>
  <c r="BI526" i="3"/>
  <c r="BJ526" i="3"/>
  <c r="BK526" i="3"/>
  <c r="H527" i="3"/>
  <c r="AC527" i="3"/>
  <c r="G527" i="3"/>
  <c r="BB527" i="3"/>
  <c r="BC527" i="3"/>
  <c r="BD527" i="3"/>
  <c r="BE527" i="3"/>
  <c r="BG527" i="3"/>
  <c r="BH527" i="3"/>
  <c r="BI527" i="3"/>
  <c r="BJ527" i="3"/>
  <c r="BK527" i="3"/>
  <c r="H528" i="3"/>
  <c r="AC528" i="3"/>
  <c r="G528" i="3"/>
  <c r="BB528" i="3"/>
  <c r="BC528" i="3"/>
  <c r="BD528" i="3"/>
  <c r="BE528" i="3"/>
  <c r="BG528" i="3"/>
  <c r="BH528" i="3"/>
  <c r="BI528" i="3"/>
  <c r="BJ528" i="3"/>
  <c r="BK528" i="3"/>
  <c r="H529" i="3"/>
  <c r="AC529" i="3"/>
  <c r="BB529" i="3"/>
  <c r="BC529" i="3"/>
  <c r="BD529" i="3"/>
  <c r="BE529" i="3"/>
  <c r="BG529" i="3"/>
  <c r="BH529" i="3"/>
  <c r="BI529" i="3"/>
  <c r="BJ529" i="3"/>
  <c r="BK529" i="3"/>
  <c r="H530" i="3"/>
  <c r="AC530" i="3"/>
  <c r="BB530" i="3"/>
  <c r="BC530" i="3"/>
  <c r="BD530" i="3"/>
  <c r="BE530" i="3"/>
  <c r="BG530" i="3"/>
  <c r="BH530" i="3"/>
  <c r="BI530" i="3"/>
  <c r="BJ530" i="3"/>
  <c r="BK530" i="3"/>
  <c r="H531" i="3"/>
  <c r="AC531" i="3"/>
  <c r="G531" i="3"/>
  <c r="BB531" i="3"/>
  <c r="BC531" i="3"/>
  <c r="BD531" i="3"/>
  <c r="BE531" i="3"/>
  <c r="BG531" i="3"/>
  <c r="BH531" i="3"/>
  <c r="BI531" i="3"/>
  <c r="BJ531" i="3"/>
  <c r="BK531" i="3"/>
  <c r="H532" i="3"/>
  <c r="AC532" i="3"/>
  <c r="G532" i="3"/>
  <c r="BB532" i="3"/>
  <c r="BC532" i="3"/>
  <c r="BD532" i="3"/>
  <c r="BE532" i="3"/>
  <c r="BG532" i="3"/>
  <c r="BH532" i="3"/>
  <c r="BI532" i="3"/>
  <c r="BJ532" i="3"/>
  <c r="BK532" i="3"/>
  <c r="H533" i="3"/>
  <c r="AC533" i="3"/>
  <c r="G533" i="3"/>
  <c r="BB533" i="3"/>
  <c r="BC533" i="3"/>
  <c r="BD533" i="3"/>
  <c r="BE533" i="3"/>
  <c r="BG533" i="3"/>
  <c r="BH533" i="3"/>
  <c r="BI533" i="3"/>
  <c r="BJ533" i="3"/>
  <c r="BK533" i="3"/>
  <c r="H534" i="3"/>
  <c r="AC534" i="3"/>
  <c r="BB534" i="3"/>
  <c r="BC534" i="3"/>
  <c r="BD534" i="3"/>
  <c r="BE534" i="3"/>
  <c r="BG534" i="3"/>
  <c r="BH534" i="3"/>
  <c r="BI534" i="3"/>
  <c r="BJ534" i="3"/>
  <c r="BK534" i="3"/>
  <c r="H535" i="3"/>
  <c r="AC535" i="3"/>
  <c r="G535" i="3"/>
  <c r="BB535" i="3"/>
  <c r="BC535" i="3"/>
  <c r="BD535" i="3"/>
  <c r="BE535" i="3"/>
  <c r="BG535" i="3"/>
  <c r="BH535" i="3"/>
  <c r="BI535" i="3"/>
  <c r="BJ535" i="3"/>
  <c r="BK535" i="3"/>
  <c r="H536" i="3"/>
  <c r="AC536" i="3"/>
  <c r="G536" i="3"/>
  <c r="BB536" i="3"/>
  <c r="BC536" i="3"/>
  <c r="BD536" i="3"/>
  <c r="BE536" i="3"/>
  <c r="BG536" i="3"/>
  <c r="BH536" i="3"/>
  <c r="BI536" i="3"/>
  <c r="BJ536" i="3"/>
  <c r="BK536" i="3"/>
  <c r="H537" i="3"/>
  <c r="AC537" i="3"/>
  <c r="BB537" i="3"/>
  <c r="BC537" i="3"/>
  <c r="BD537" i="3"/>
  <c r="BE537" i="3"/>
  <c r="BG537" i="3"/>
  <c r="BH537" i="3"/>
  <c r="BI537" i="3"/>
  <c r="BJ537" i="3"/>
  <c r="BK537" i="3"/>
  <c r="H538" i="3"/>
  <c r="AC538" i="3"/>
  <c r="BB538" i="3"/>
  <c r="BC538" i="3"/>
  <c r="BD538" i="3"/>
  <c r="BE538" i="3"/>
  <c r="BG538" i="3"/>
  <c r="BH538" i="3"/>
  <c r="BI538" i="3"/>
  <c r="BJ538" i="3"/>
  <c r="BK538" i="3"/>
  <c r="H539" i="3"/>
  <c r="AC539" i="3"/>
  <c r="BB539" i="3"/>
  <c r="BC539" i="3"/>
  <c r="BD539" i="3"/>
  <c r="BE539" i="3"/>
  <c r="BG539" i="3"/>
  <c r="BH539" i="3"/>
  <c r="BI539" i="3"/>
  <c r="BJ539" i="3"/>
  <c r="BK539" i="3"/>
  <c r="H540" i="3"/>
  <c r="AC540" i="3"/>
  <c r="G540" i="3"/>
  <c r="BB540" i="3"/>
  <c r="BC540" i="3"/>
  <c r="BD540" i="3"/>
  <c r="BE540" i="3"/>
  <c r="BG540" i="3"/>
  <c r="BH540" i="3"/>
  <c r="BI540" i="3"/>
  <c r="BJ540" i="3"/>
  <c r="BK540" i="3"/>
  <c r="H541" i="3"/>
  <c r="AC541" i="3"/>
  <c r="G541" i="3"/>
  <c r="BB541" i="3"/>
  <c r="BC541" i="3"/>
  <c r="BD541" i="3"/>
  <c r="BE541" i="3"/>
  <c r="BG541" i="3"/>
  <c r="BH541" i="3"/>
  <c r="BI541" i="3"/>
  <c r="BJ541" i="3"/>
  <c r="BK541" i="3"/>
  <c r="H542" i="3"/>
  <c r="BB542" i="3"/>
  <c r="BC542" i="3"/>
  <c r="BD542" i="3"/>
  <c r="BE542" i="3"/>
  <c r="BG542" i="3"/>
  <c r="BH542" i="3"/>
  <c r="BI542" i="3"/>
  <c r="BJ542" i="3"/>
  <c r="BK542" i="3"/>
  <c r="H543" i="3"/>
  <c r="AC543" i="3"/>
  <c r="G543" i="3"/>
  <c r="BB543" i="3"/>
  <c r="BC543" i="3"/>
  <c r="BD543" i="3"/>
  <c r="BE543" i="3"/>
  <c r="BG543" i="3"/>
  <c r="BH543" i="3"/>
  <c r="BI543" i="3"/>
  <c r="BJ543" i="3"/>
  <c r="BK543" i="3"/>
  <c r="H544" i="3"/>
  <c r="AC544" i="3"/>
  <c r="BB544" i="3"/>
  <c r="BC544" i="3"/>
  <c r="BD544" i="3"/>
  <c r="BE544" i="3"/>
  <c r="BG544" i="3"/>
  <c r="BH544" i="3"/>
  <c r="BI544" i="3"/>
  <c r="BJ544" i="3"/>
  <c r="BK544" i="3"/>
  <c r="H545" i="3"/>
  <c r="AC545" i="3"/>
  <c r="BB545" i="3"/>
  <c r="BC545" i="3"/>
  <c r="BD545" i="3"/>
  <c r="BE545" i="3"/>
  <c r="BG545" i="3"/>
  <c r="BH545" i="3"/>
  <c r="BI545" i="3"/>
  <c r="BJ545" i="3"/>
  <c r="BK545" i="3"/>
  <c r="H546" i="3"/>
  <c r="AC546" i="3"/>
  <c r="BB546" i="3"/>
  <c r="BC546" i="3"/>
  <c r="BD546" i="3"/>
  <c r="BE546" i="3"/>
  <c r="BG546" i="3"/>
  <c r="BH546" i="3"/>
  <c r="BI546" i="3"/>
  <c r="BJ546" i="3"/>
  <c r="BK546" i="3"/>
  <c r="H547" i="3"/>
  <c r="AC547" i="3"/>
  <c r="G547" i="3"/>
  <c r="BB547" i="3"/>
  <c r="BC547" i="3"/>
  <c r="BD547" i="3"/>
  <c r="BE547" i="3"/>
  <c r="BG547" i="3"/>
  <c r="BH547" i="3"/>
  <c r="BI547" i="3"/>
  <c r="BJ547" i="3"/>
  <c r="BK547" i="3"/>
  <c r="H548" i="3"/>
  <c r="AC548" i="3"/>
  <c r="G548" i="3"/>
  <c r="BB548" i="3"/>
  <c r="BC548" i="3"/>
  <c r="BD548" i="3"/>
  <c r="BE548" i="3"/>
  <c r="BG548" i="3"/>
  <c r="BH548" i="3"/>
  <c r="BI548" i="3"/>
  <c r="BJ548" i="3"/>
  <c r="BK548" i="3"/>
  <c r="H549" i="3"/>
  <c r="AC549" i="3"/>
  <c r="BB549" i="3"/>
  <c r="BC549" i="3"/>
  <c r="BD549" i="3"/>
  <c r="BE549" i="3"/>
  <c r="BG549" i="3"/>
  <c r="BH549" i="3"/>
  <c r="BI549" i="3"/>
  <c r="BJ549" i="3"/>
  <c r="BK549" i="3"/>
  <c r="H550" i="3"/>
  <c r="AC550" i="3"/>
  <c r="BB550" i="3"/>
  <c r="BC550" i="3"/>
  <c r="BD550" i="3"/>
  <c r="BE550" i="3"/>
  <c r="BG550" i="3"/>
  <c r="BH550" i="3"/>
  <c r="BI550" i="3"/>
  <c r="BJ550" i="3"/>
  <c r="BK550" i="3"/>
  <c r="H551" i="3"/>
  <c r="AC551" i="3"/>
  <c r="G551" i="3"/>
  <c r="BB551" i="3"/>
  <c r="BC551" i="3"/>
  <c r="BD551" i="3"/>
  <c r="BE551" i="3"/>
  <c r="BG551" i="3"/>
  <c r="BH551" i="3"/>
  <c r="BI551" i="3"/>
  <c r="BJ551" i="3"/>
  <c r="BK551" i="3"/>
  <c r="H552" i="3"/>
  <c r="AC552" i="3"/>
  <c r="G552" i="3"/>
  <c r="BB552" i="3"/>
  <c r="BC552" i="3"/>
  <c r="BD552" i="3"/>
  <c r="BE552" i="3"/>
  <c r="BG552" i="3"/>
  <c r="BH552" i="3"/>
  <c r="BI552" i="3"/>
  <c r="BJ552" i="3"/>
  <c r="BK552" i="3"/>
  <c r="H553" i="3"/>
  <c r="AC553" i="3"/>
  <c r="G553" i="3"/>
  <c r="BB553" i="3"/>
  <c r="BC553" i="3"/>
  <c r="BD553" i="3"/>
  <c r="BE553" i="3"/>
  <c r="BG553" i="3"/>
  <c r="BH553" i="3"/>
  <c r="BI553" i="3"/>
  <c r="BJ553" i="3"/>
  <c r="BK553" i="3"/>
  <c r="H554" i="3"/>
  <c r="AC554" i="3"/>
  <c r="BB554" i="3"/>
  <c r="BC554" i="3"/>
  <c r="BD554" i="3"/>
  <c r="BE554" i="3"/>
  <c r="BG554" i="3"/>
  <c r="BH554" i="3"/>
  <c r="BI554" i="3"/>
  <c r="BJ554" i="3"/>
  <c r="BK554" i="3"/>
  <c r="H555" i="3"/>
  <c r="AC555" i="3"/>
  <c r="G555" i="3"/>
  <c r="BB555" i="3"/>
  <c r="BC555" i="3"/>
  <c r="BD555" i="3"/>
  <c r="BE555" i="3"/>
  <c r="BG555" i="3"/>
  <c r="BH555" i="3"/>
  <c r="BI555" i="3"/>
  <c r="BJ555" i="3"/>
  <c r="BK555" i="3"/>
  <c r="H556" i="3"/>
  <c r="AC556" i="3"/>
  <c r="BB556" i="3"/>
  <c r="BC556" i="3"/>
  <c r="BD556" i="3"/>
  <c r="BE556" i="3"/>
  <c r="BG556" i="3"/>
  <c r="BH556" i="3"/>
  <c r="BI556" i="3"/>
  <c r="BJ556" i="3"/>
  <c r="BK556" i="3"/>
  <c r="H557" i="3"/>
  <c r="AC557" i="3"/>
  <c r="BB557" i="3"/>
  <c r="BC557" i="3"/>
  <c r="BD557" i="3"/>
  <c r="BE557" i="3"/>
  <c r="BG557" i="3"/>
  <c r="BH557" i="3"/>
  <c r="BI557" i="3"/>
  <c r="BJ557" i="3"/>
  <c r="BK557" i="3"/>
  <c r="H558" i="3"/>
  <c r="AC558" i="3"/>
  <c r="BB558" i="3"/>
  <c r="BC558" i="3"/>
  <c r="BD558" i="3"/>
  <c r="BE558" i="3"/>
  <c r="BG558" i="3"/>
  <c r="BH558" i="3"/>
  <c r="BI558" i="3"/>
  <c r="BJ558" i="3"/>
  <c r="BK558" i="3"/>
  <c r="H559" i="3"/>
  <c r="AC559" i="3"/>
  <c r="G559" i="3"/>
  <c r="BB559" i="3"/>
  <c r="BC559" i="3"/>
  <c r="BD559" i="3"/>
  <c r="BE559" i="3"/>
  <c r="BG559" i="3"/>
  <c r="BH559" i="3"/>
  <c r="BI559" i="3"/>
  <c r="BJ559" i="3"/>
  <c r="BK559" i="3"/>
  <c r="H560" i="3"/>
  <c r="AC560" i="3"/>
  <c r="BB560" i="3"/>
  <c r="BC560" i="3"/>
  <c r="BD560" i="3"/>
  <c r="BE560" i="3"/>
  <c r="BG560" i="3"/>
  <c r="BH560" i="3"/>
  <c r="BI560" i="3"/>
  <c r="BJ560" i="3"/>
  <c r="BK560" i="3"/>
  <c r="H561" i="3"/>
  <c r="AC561" i="3"/>
  <c r="BB561" i="3"/>
  <c r="BC561" i="3"/>
  <c r="BD561" i="3"/>
  <c r="BE561" i="3"/>
  <c r="BG561" i="3"/>
  <c r="BH561" i="3"/>
  <c r="BI561" i="3"/>
  <c r="BJ561" i="3"/>
  <c r="BK561" i="3"/>
  <c r="H562" i="3"/>
  <c r="AC562" i="3"/>
  <c r="BB562" i="3"/>
  <c r="BC562" i="3"/>
  <c r="BD562" i="3"/>
  <c r="BE562" i="3"/>
  <c r="BG562" i="3"/>
  <c r="BH562" i="3"/>
  <c r="BI562" i="3"/>
  <c r="BJ562" i="3"/>
  <c r="BK562" i="3"/>
  <c r="H563" i="3"/>
  <c r="AC563" i="3"/>
  <c r="G563" i="3"/>
  <c r="BB563" i="3"/>
  <c r="BC563" i="3"/>
  <c r="BD563" i="3"/>
  <c r="BE563" i="3"/>
  <c r="BG563" i="3"/>
  <c r="BH563" i="3"/>
  <c r="BI563" i="3"/>
  <c r="BJ563" i="3"/>
  <c r="BK563" i="3"/>
  <c r="H564" i="3"/>
  <c r="AC564" i="3"/>
  <c r="G564" i="3"/>
  <c r="BB564" i="3"/>
  <c r="BC564" i="3"/>
  <c r="BD564" i="3"/>
  <c r="BE564" i="3"/>
  <c r="BG564" i="3"/>
  <c r="BH564" i="3"/>
  <c r="BI564" i="3"/>
  <c r="BJ564" i="3"/>
  <c r="BK564" i="3"/>
  <c r="H565" i="3"/>
  <c r="AC565" i="3"/>
  <c r="BB565" i="3"/>
  <c r="BC565" i="3"/>
  <c r="BD565" i="3"/>
  <c r="BE565" i="3"/>
  <c r="BG565" i="3"/>
  <c r="BH565" i="3"/>
  <c r="BI565" i="3"/>
  <c r="BJ565" i="3"/>
  <c r="BK565" i="3"/>
  <c r="H566" i="3"/>
  <c r="AC566" i="3"/>
  <c r="BB566" i="3"/>
  <c r="BC566" i="3"/>
  <c r="BD566" i="3"/>
  <c r="BE566" i="3"/>
  <c r="BG566" i="3"/>
  <c r="BH566" i="3"/>
  <c r="BI566" i="3"/>
  <c r="BJ566" i="3"/>
  <c r="BK566" i="3"/>
  <c r="H567" i="3"/>
  <c r="AC567" i="3"/>
  <c r="G567" i="3"/>
  <c r="BB567" i="3"/>
  <c r="BC567" i="3"/>
  <c r="BD567" i="3"/>
  <c r="BE567" i="3"/>
  <c r="BG567" i="3"/>
  <c r="BH567" i="3"/>
  <c r="BI567" i="3"/>
  <c r="BJ567" i="3"/>
  <c r="BK567" i="3"/>
  <c r="H568" i="3"/>
  <c r="AC568" i="3"/>
  <c r="G568" i="3"/>
  <c r="BB568" i="3"/>
  <c r="BC568" i="3"/>
  <c r="BD568" i="3"/>
  <c r="BE568" i="3"/>
  <c r="BG568" i="3"/>
  <c r="BH568" i="3"/>
  <c r="BI568" i="3"/>
  <c r="BJ568" i="3"/>
  <c r="BK568" i="3"/>
  <c r="H569" i="3"/>
  <c r="AC569" i="3"/>
  <c r="G569" i="3"/>
  <c r="BB569" i="3"/>
  <c r="BC569" i="3"/>
  <c r="BD569" i="3"/>
  <c r="BE569" i="3"/>
  <c r="BG569" i="3"/>
  <c r="BH569" i="3"/>
  <c r="BI569" i="3"/>
  <c r="BJ569" i="3"/>
  <c r="BK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G570" i="3"/>
  <c r="BH570" i="3"/>
  <c r="BI570" i="3"/>
  <c r="BJ570" i="3"/>
  <c r="BK570" i="3"/>
  <c r="BA570" i="3"/>
  <c r="BL570" i="3"/>
  <c r="AZ570" i="3"/>
  <c r="BG571" i="3"/>
  <c r="BG572" i="3"/>
  <c r="BG5" i="3"/>
  <c r="BB571" i="3"/>
  <c r="BC571" i="3"/>
  <c r="BD571" i="3"/>
  <c r="BE571" i="3"/>
  <c r="BH571" i="3"/>
  <c r="BI571" i="3"/>
  <c r="BJ571" i="3"/>
  <c r="BK571" i="3"/>
  <c r="BB572" i="3"/>
  <c r="BC572" i="3"/>
  <c r="BD572" i="3"/>
  <c r="BE572" i="3"/>
  <c r="BH572" i="3"/>
  <c r="BI572" i="3"/>
  <c r="BJ572" i="3"/>
  <c r="BK572" i="3"/>
  <c r="BL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BL20" i="3"/>
  <c r="AZ20" i="3"/>
  <c r="G566" i="3"/>
  <c r="G562" i="3"/>
  <c r="G560" i="3"/>
  <c r="G558" i="3"/>
  <c r="G556" i="3"/>
  <c r="G554" i="3"/>
  <c r="G550" i="3"/>
  <c r="G546" i="3"/>
  <c r="BL543" i="3"/>
  <c r="AZ543" i="3"/>
  <c r="BA542" i="3"/>
  <c r="AC542" i="3"/>
  <c r="G542" i="3"/>
  <c r="BL542" i="3"/>
  <c r="BL564" i="3"/>
  <c r="BL562" i="3"/>
  <c r="AZ562" i="3"/>
  <c r="BL560" i="3"/>
  <c r="BL558" i="3"/>
  <c r="BL556" i="3"/>
  <c r="BL552" i="3"/>
  <c r="BL550" i="3"/>
  <c r="BL546" i="3"/>
  <c r="BL544" i="3"/>
  <c r="AZ544" i="3"/>
  <c r="G544" i="3"/>
  <c r="G538" i="3"/>
  <c r="G534" i="3"/>
  <c r="G530" i="3"/>
  <c r="G526" i="3"/>
  <c r="G522" i="3"/>
  <c r="BL540" i="3"/>
  <c r="BL538" i="3"/>
  <c r="BL534" i="3"/>
  <c r="BL532" i="3"/>
  <c r="BL526" i="3"/>
  <c r="BL524" i="3"/>
  <c r="BL520" i="3"/>
  <c r="AZ520" i="3"/>
  <c r="BL516" i="3"/>
  <c r="BL514" i="3"/>
  <c r="BL510" i="3"/>
  <c r="BL508" i="3"/>
  <c r="AZ508" i="3"/>
  <c r="AC506" i="3"/>
  <c r="G506" i="3"/>
  <c r="G502" i="3"/>
  <c r="G498" i="3"/>
  <c r="BL502" i="3"/>
  <c r="BL500" i="3"/>
  <c r="AC494" i="3"/>
  <c r="BL493" i="3"/>
  <c r="AZ493" i="3"/>
  <c r="G492" i="3"/>
  <c r="G488" i="3"/>
  <c r="G484" i="3"/>
  <c r="G20" i="3"/>
  <c r="BL492" i="3"/>
  <c r="AZ492" i="3"/>
  <c r="BL488" i="3"/>
  <c r="AZ488" i="3"/>
  <c r="BL484" i="3"/>
  <c r="BL482"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BA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M11" i="1"/>
  <c r="B9" i="1"/>
  <c r="E9" i="1"/>
  <c r="M9" i="1"/>
  <c r="B7" i="1"/>
  <c r="E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BL16" i="3"/>
  <c r="AZ16" i="3"/>
  <c r="BA17" i="3"/>
  <c r="AZ17" i="3"/>
  <c r="F3" i="35"/>
  <c r="K1" i="43"/>
  <c r="K1" i="12"/>
  <c r="AZ15" i="3"/>
  <c r="BK5" i="3"/>
  <c r="BL18" i="3"/>
  <c r="AZ18" i="3"/>
  <c r="BC5" i="3"/>
  <c r="E8" i="6"/>
  <c r="BD5" i="3"/>
  <c r="G30" i="6"/>
  <c r="G31" i="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I17" i="46"/>
  <c r="C16" i="46"/>
  <c r="C5" i="46"/>
  <c r="F39" i="46"/>
  <c r="H13" i="48"/>
  <c r="H11" i="48"/>
  <c r="E8" i="46"/>
  <c r="C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M10" i="1"/>
  <c r="O10" i="1"/>
  <c r="P10" i="1"/>
  <c r="S11" i="1"/>
  <c r="R11" i="1"/>
  <c r="S13" i="1"/>
  <c r="R13" i="1"/>
  <c r="B6" i="1"/>
  <c r="E6" i="1"/>
  <c r="B10" i="1"/>
  <c r="E10" i="1"/>
  <c r="S10" i="1"/>
  <c r="B8" i="1"/>
  <c r="E8" i="1"/>
  <c r="B12" i="1"/>
  <c r="E12" i="1"/>
  <c r="S12"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M12" i="1"/>
  <c r="I21" i="57"/>
  <c r="D1" i="57"/>
  <c r="E10"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5" i="6"/>
  <c r="K27"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B5" i="66"/>
  <c r="D5" i="66"/>
  <c r="C5" i="66"/>
  <c r="F17" i="66"/>
  <c r="E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<sst xmlns="http://schemas.openxmlformats.org/spreadsheetml/2006/main" count="7615" uniqueCount="3233">
  <si>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</si>
  <si>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</si>
  <si>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</si>
  <si>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</si>
  <si>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</si>
  <si>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</si>
  <si>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</si>
  <si>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</si>
  <si>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</si>
  <si>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</si>
  <si>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</si>
  <si>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</si>
  <si>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</si>
  <si>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</si>
  <si>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</si>
  <si>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</si>
  <si>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</si>
  <si>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</si>
  <si>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</si>
  <si>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</si>
  <si>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</si>
  <si>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</si>
  <si>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</si>
  <si>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</si>
  <si>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</si>
  <si>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</si>
  <si>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</si>
  <si>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</si>
  <si>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</si>
  <si>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</si>
  <si>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</si>
  <si>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</si>
  <si>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</si>
  <si>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</si>
  <si>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</si>
  <si>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</si>
  <si>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</si>
  <si>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</si>
  <si>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</si>
  <si>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</si>
  <si>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</si>
  <si>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</si>
  <si>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</si>
  <si>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</si>
  <si>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</si>
  <si>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</si>
  <si>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</si>
  <si>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</si>
  <si>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</si>
  <si>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</si>
  <si>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</si>
  <si>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</si>
  <si>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</si>
  <si>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</si>
  <si>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</si>
  <si>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</si>
  <si>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</si>
  <si>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</si>
  <si>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</si>
  <si>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</si>
  <si>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</si>
  <si>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</si>
  <si>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</si>
  <si>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</si>
  <si>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</si>
  <si>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</si>
  <si>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</si>
  <si>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</si>
  <si>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</si>
  <si>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</si>
  <si>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</si>
  <si>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</si>
  <si>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</si>
  <si>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</si>
  <si>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</si>
  <si>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</si>
  <si>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</si>
  <si>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</si>
  <si>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</si>
  <si>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</si>
  <si>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</si>
  <si>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</si>
  <si>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</si>
  <si>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</si>
  <si>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</si>
  <si>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</si>
  <si>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</si>
  <si>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</si>
  <si>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</si>
  <si>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</si>
  <si>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</si>
  <si>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</si>
  <si>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</si>
  <si>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</si>
  <si>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</si>
  <si>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</si>
  <si>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</si>
  <si>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</si>
  <si>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</si>
  <si>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</si>
  <si>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</si>
  <si>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</si>
  <si>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</si>
  <si>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</si>
  <si>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</si>
  <si>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</si>
  <si>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</si>
  <si>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</si>
  <si>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</si>
  <si>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</si>
  <si>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</si>
  <si>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</si>
  <si>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</si>
  <si>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</si>
  <si>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</si>
  <si>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</si>
  <si>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</si>
  <si>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</si>
  <si>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</si>
  <si>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</si>
  <si>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</si>
  <si>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</si>
  <si>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</si>
  <si>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</si>
  <si>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</si>
  <si>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</si>
  <si>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</si>
  <si>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</si>
  <si>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</si>
  <si>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</si>
  <si>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</si>
  <si>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</si>
  <si>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</si>
  <si>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</si>
  <si>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</si>
  <si>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</si>
  <si>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</si>
  <si>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</si>
  <si>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</si>
  <si>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</si>
  <si>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</si>
  <si>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</si>
  <si>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</si>
  <si>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</si>
  <si>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</si>
  <si>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</si>
  <si>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</si>
  <si>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</si>
  <si>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</si>
  <si>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</si>
  <si>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</si>
  <si>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</si>
  <si>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</si>
  <si>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</si>
  <si>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</si>
  <si>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</si>
  <si>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</si>
  <si>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</si>
  <si>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</si>
  <si>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</si>
  <si>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</si>
  <si>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</si>
  <si>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</si>
  <si>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</si>
  <si>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</si>
  <si>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</si>
  <si>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</si>
  <si>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</si>
  <si>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</si>
  <si>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</si>
  <si>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</si>
  <si>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</si>
  <si>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</si>
  <si>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</si>
  <si>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</si>
  <si>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</si>
  <si>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</si>
  <si>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</si>
  <si>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</si>
  <si>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</si>
  <si>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</si>
  <si>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</si>
  <si>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</si>
  <si>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</si>
  <si>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</si>
  <si>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</si>
  <si>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</si>
  <si>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</si>
  <si>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</si>
  <si>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</si>
  <si>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</si>
  <si>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</si>
  <si>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</si>
  <si>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</si>
  <si>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</si>
  <si>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</si>
  <si>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</si>
  <si>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</si>
  <si>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</si>
  <si>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</si>
  <si>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</si>
  <si>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</si>
  <si>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</si>
  <si>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</si>
  <si>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</si>
  <si>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</si>
  <si>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</si>
  <si>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</si>
  <si>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</si>
  <si>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</si>
  <si>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</si>
  <si>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</si>
  <si>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</si>
  <si>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</si>
  <si>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</si>
  <si>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</si>
  <si>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</si>
  <si>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</si>
  <si>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</si>
  <si>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</si>
  <si>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</si>
  <si>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</si>
  <si>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</si>
  <si>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</si>
  <si>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</si>
  <si>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</si>
  <si>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</si>
  <si>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</si>
  <si>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</si>
  <si>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</si>
  <si>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</si>
  <si>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</si>
  <si>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</si>
  <si>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</si>
  <si>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</si>
  <si>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</si>
  <si>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</si>
  <si>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</si>
  <si>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</si>
  <si>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</si>
  <si>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</si>
  <si>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</si>
  <si>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</si>
  <si>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</si>
  <si>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</si>
  <si>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</si>
  <si>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</si>
  <si>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</si>
  <si>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</si>
  <si>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</si>
  <si>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</si>
  <si>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</si>
  <si>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</si>
  <si>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</si>
  <si>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</si>
  <si>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</si>
  <si>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</si>
  <si>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</si>
  <si>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</si>
  <si>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</si>
  <si>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</si>
  <si>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</si>
  <si>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</si>
  <si>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</si>
  <si>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</si>
  <si>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</si>
  <si>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</si>
  <si>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</si>
  <si>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</si>
  <si>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</si>
  <si>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</si>
  <si>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</si>
  <si>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</si>
  <si>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</si>
  <si>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</si>
  <si>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</si>
  <si>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</si>
  <si>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</si>
  <si>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</si>
  <si>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</si>
  <si>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</si>
  <si>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</si>
  <si>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</si>
  <si>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</si>
  <si>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</si>
  <si>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</si>
  <si>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</si>
  <si>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</si>
  <si>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</si>
  <si>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</si>
  <si>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</si>
  <si>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</si>
  <si>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</si>
  <si>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</si>
  <si>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</si>
  <si>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</si>
  <si>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</si>
  <si>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</si>
  <si>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</si>
  <si>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</si>
  <si>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</si>
  <si>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</si>
  <si>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</si>
  <si>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</si>
  <si>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</si>
  <si>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</si>
  <si>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</si>
  <si>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</si>
  <si>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</si>
  <si>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</si>
  <si>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</si>
  <si>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</si>
  <si>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</si>
  <si>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</si>
  <si>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</si>
  <si>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</si>
  <si>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</si>
  <si>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</si>
  <si>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</si>
  <si>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</si>
  <si>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</si>
  <si>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</si>
  <si>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</si>
  <si>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</si>
  <si>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</si>
  <si>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</si>
  <si>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</si>
  <si>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</si>
  <si>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</si>
  <si>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</si>
  <si>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</si>
  <si>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</si>
  <si>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</si>
  <si>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</si>
  <si>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</si>
  <si>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</si>
  <si>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</si>
  <si>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</si>
  <si>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</si>
  <si>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</si>
  <si>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</si>
  <si>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</si>
  <si>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</si>
  <si>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</si>
  <si>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</si>
  <si>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</si>
  <si>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</si>
  <si>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</si>
  <si>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</si>
  <si>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</si>
  <si>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</si>
  <si>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</si>
  <si>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</si>
  <si>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</si>
  <si>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</si>
  <si>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</si>
  <si>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</si>
  <si>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</si>
  <si>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</si>
  <si>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</si>
  <si>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</si>
  <si>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</si>
  <si>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</si>
  <si>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</si>
  <si>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</si>
  <si>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</si>
  <si>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</si>
  <si>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</si>
  <si>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</si>
  <si>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</si>
  <si>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</si>
  <si>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</si>
  <si>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</si>
  <si>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</si>
  <si>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</si>
  <si>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</si>
  <si>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</si>
  <si>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</si>
  <si>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</si>
  <si>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</si>
  <si>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</si>
  <si>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</si>
  <si>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</si>
  <si>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</si>
  <si>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</si>
  <si>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</si>
  <si>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</si>
  <si>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</si>
  <si>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</si>
  <si>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</si>
  <si>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</si>
  <si>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</si>
  <si>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</si>
  <si>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</si>
  <si>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</si>
  <si>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</si>
  <si>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</si>
  <si>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</si>
  <si>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</si>
  <si>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</si>
  <si>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</si>
  <si>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</si>
  <si>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</si>
  <si>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</si>
  <si>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</si>
  <si>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</si>
  <si>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</si>
  <si>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</si>
  <si>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</si>
  <si>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</si>
  <si>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</si>
  <si>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</si>
  <si>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</si>
  <si>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</si>
  <si>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</si>
  <si>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</si>
  <si>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</si>
  <si>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</si>
  <si>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</si>
  <si>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</si>
  <si>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</si>
  <si>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</si>
  <si>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</si>
  <si>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</si>
  <si>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</si>
  <si>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</si>
  <si>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</si>
  <si>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</si>
  <si>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</si>
  <si>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</si>
  <si>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</si>
  <si>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</si>
  <si>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</si>
  <si>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</si>
  <si>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</si>
  <si>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</si>
  <si>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</si>
  <si>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</si>
  <si>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</si>
  <si>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</si>
  <si>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</si>
  <si>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</si>
  <si>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</si>
  <si>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</si>
  <si>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</si>
  <si>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</si>
  <si>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</si>
  <si>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</si>
  <si>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</si>
  <si>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</si>
  <si>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</si>
  <si>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</si>
  <si>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</si>
  <si>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</si>
  <si>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</si>
  <si>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</si>
  <si>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</si>
  <si>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</si>
  <si>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</si>
  <si>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</si>
  <si>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</si>
  <si>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</si>
  <si>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</si>
  <si>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</si>
  <si>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</si>
  <si>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</si>
  <si>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</si>
  <si>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</si>
  <si>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</si>
  <si>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</si>
  <si>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</si>
  <si>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</si>
  <si>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</si>
  <si>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</si>
  <si>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</si>
  <si>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</si>
  <si>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</si>
  <si>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</si>
  <si>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</si>
  <si>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</si>
  <si>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</si>
  <si>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</si>
  <si>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</si>
  <si>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</si>
  <si>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</si>
  <si>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</si>
  <si>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</si>
  <si>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</si>
  <si>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</si>
  <si>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</si>
  <si>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</si>
  <si>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</si>
  <si>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</si>
  <si>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</si>
  <si>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</si>
  <si>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</si>
  <si>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</si>
  <si>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</si>
  <si>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</si>
  <si>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</si>
  <si>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</si>
  <si>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</si>
  <si>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</si>
  <si>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</si>
  <si>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</si>
  <si>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</si>
  <si>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</si>
  <si>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</si>
  <si>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</si>
  <si>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</si>
  <si>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</si>
  <si>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</si>
  <si>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</si>
  <si>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</si>
  <si>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</si>
  <si>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</si>
  <si>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</si>
  <si>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</si>
  <si>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</si>
  <si>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</si>
  <si>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</si>
  <si>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</si>
  <si>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</si>
  <si>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</si>
  <si>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</si>
  <si>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</si>
  <si>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</si>
  <si>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</si>
  <si>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</si>
  <si>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</si>
  <si>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</si>
  <si>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</si>
  <si>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</si>
  <si>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</si>
  <si>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</si>
  <si>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</si>
  <si>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</si>
  <si>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</si>
  <si>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</si>
  <si>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</si>
  <si>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</si>
  <si>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</si>
  <si>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</si>
  <si>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</si>
  <si>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</si>
  <si>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</si>
  <si>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</si>
  <si>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</si>
  <si>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</si>
  <si>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</si>
  <si>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</si>
  <si>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</si>
  <si>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</si>
  <si>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</si>
  <si>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</si>
  <si>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</si>
  <si>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</si>
  <si>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</si>
  <si>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</si>
  <si>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</si>
  <si>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</si>
  <si>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</si>
  <si>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</si>
  <si>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</si>
  <si>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</si>
  <si>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</si>
  <si>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</si>
  <si>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</si>
  <si>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</si>
  <si>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</si>
  <si>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</si>
  <si>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</si>
  <si>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</si>
  <si>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</si>
  <si>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</si>
  <si>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</si>
  <si>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</si>
  <si>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</si>
  <si>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</si>
  <si>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</si>
  <si>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</si>
  <si>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</si>
  <si>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</si>
  <si>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</si>
  <si>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</si>
  <si>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</si>
  <si>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</si>
  <si>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</si>
  <si>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</si>
  <si>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</si>
  <si>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</si>
  <si>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</si>
  <si>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</si>
  <si>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</si>
  <si>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</si>
  <si>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</si>
  <si>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</si>
  <si>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</si>
  <si>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</si>
  <si>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</si>
  <si>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</si>
  <si>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</si>
  <si>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</si>
  <si>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</si>
  <si>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</si>
  <si>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</si>
  <si>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</si>
  <si>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</si>
  <si>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</si>
  <si>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</si>
  <si>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</si>
  <si>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</si>
  <si>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</si>
  <si>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</si>
  <si>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</si>
  <si>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</si>
  <si>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</si>
  <si>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</si>
  <si>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</si>
  <si>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</si>
  <si>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</si>
  <si>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</si>
  <si>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</si>
  <si>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</si>
  <si>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</si>
  <si>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</si>
  <si>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</si>
  <si>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</si>
  <si>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</si>
  <si>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</si>
  <si>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</si>
  <si>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</si>
  <si>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</si>
  <si>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</si>
  <si>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</si>
  <si>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</si>
  <si>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</si>
  <si>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</si>
  <si>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</si>
  <si>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</si>
  <si>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</si>
  <si>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</si>
  <si>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</si>
  <si>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</si>
  <si>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</si>
  <si>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</si>
  <si>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</si>
  <si>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</si>
  <si>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</si>
  <si>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</si>
  <si>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</si>
  <si>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</si>
  <si>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</si>
  <si>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</si>
  <si>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</si>
  <si>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</si>
  <si>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</si>
  <si>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</si>
  <si>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</si>
  <si>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</si>
  <si>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</si>
  <si>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</si>
  <si>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</si>
  <si>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</si>
  <si>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</si>
  <si>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</si>
  <si>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</si>
  <si>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</si>
  <si>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</si>
  <si>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</si>
  <si>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</si>
  <si>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</si>
  <si>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</si>
  <si>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</si>
  <si>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</si>
  <si>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</si>
  <si>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</si>
  <si>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</si>
  <si>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</si>
  <si>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</si>
  <si>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</si>
  <si>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</si>
  <si>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</si>
  <si>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</si>
  <si>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</si>
  <si>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</si>
  <si>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</si>
  <si>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</si>
  <si>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</si>
  <si>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</si>
  <si>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</si>
  <si>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</si>
  <si>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</si>
  <si>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</si>
  <si>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</si>
  <si>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</si>
  <si>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</si>
  <si>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</si>
  <si>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</si>
  <si>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</si>
  <si>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</si>
  <si>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</si>
  <si>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</si>
  <si>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</si>
  <si>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</si>
  <si>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</si>
  <si>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</si>
  <si>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</si>
  <si>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</si>
  <si>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</si>
  <si>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</si>
  <si>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</si>
  <si>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</si>
  <si>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</si>
  <si>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</si>
  <si>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</si>
  <si>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</si>
  <si>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</si>
  <si>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</si>
  <si>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</si>
  <si>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</si>
  <si>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</si>
  <si>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</si>
  <si>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</si>
  <si>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</si>
  <si>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</si>
  <si>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</si>
  <si>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</si>
  <si>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</si>
  <si>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</si>
  <si>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</si>
  <si>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</si>
  <si>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</si>
  <si>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</si>
  <si>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</si>
  <si>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</si>
  <si>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</si>
  <si>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</si>
  <si>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</si>
  <si>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</si>
  <si>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</si>
  <si>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</si>
  <si>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</si>
  <si>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</si>
  <si>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</si>
  <si>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</si>
  <si>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</si>
  <si>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</si>
  <si>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</si>
  <si>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</si>
  <si>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</si>
  <si>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</si>
  <si>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</si>
  <si>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</si>
  <si>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</si>
  <si>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</si>
  <si>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</si>
  <si>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</si>
  <si>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</si>
  <si>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</si>
  <si>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</si>
  <si>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</si>
  <si>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</si>
  <si>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</si>
  <si>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</si>
  <si>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</si>
  <si>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</si>
  <si>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</si>
  <si>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</si>
  <si>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</si>
  <si>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</si>
  <si>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</si>
  <si>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</si>
  <si>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</si>
  <si>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</si>
  <si>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</si>
  <si>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</si>
  <si>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</si>
  <si>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</si>
  <si>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</si>
  <si>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</si>
  <si>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</si>
  <si>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</si>
  <si>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</si>
  <si>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</si>
  <si>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</si>
  <si>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</si>
  <si>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</si>
  <si>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</si>
  <si>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</si>
  <si>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</si>
  <si>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</si>
  <si>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</si>
  <si>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</si>
  <si>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</si>
  <si>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</si>
  <si>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</si>
  <si>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</si>
  <si>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</si>
  <si>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</si>
  <si>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</si>
  <si>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</si>
  <si>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</si>
  <si>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</si>
  <si>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</si>
  <si>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</si>
  <si>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</si>
  <si>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</si>
  <si>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</si>
  <si>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</si>
  <si>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</si>
  <si>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</si>
  <si>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</si>
  <si>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</si>
  <si>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</si>
  <si>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</si>
  <si>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</si>
  <si>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</si>
  <si>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</si>
  <si>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</si>
  <si>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</si>
  <si>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</si>
  <si>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</si>
  <si>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</si>
  <si>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</si>
  <si>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</si>
  <si>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</si>
  <si>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</si>
  <si>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</si>
  <si>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</si>
  <si>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</si>
  <si>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</si>
  <si>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</si>
  <si>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</si>
  <si>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</si>
  <si>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</si>
  <si>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</si>
  <si>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</si>
  <si>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</si>
  <si>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</si>
  <si>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</si>
  <si>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</si>
  <si>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</si>
  <si>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</si>
  <si>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</si>
  <si>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</si>
  <si>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</si>
  <si>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</si>
  <si>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</si>
  <si>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</si>
  <si>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</si>
  <si>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</si>
  <si>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</si>
  <si>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</si>
  <si>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</si>
  <si>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</si>
  <si>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</si>
  <si>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</si>
  <si>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</si>
  <si>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</si>
  <si>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</si>
  <si>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</si>
  <si>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</si>
  <si>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</si>
  <si>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</si>
  <si>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</si>
  <si>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</si>
  <si>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</si>
  <si>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</si>
  <si>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</si>
  <si>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</si>
  <si>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</si>
  <si>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</si>
  <si>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</si>
  <si>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</si>
  <si>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</si>
  <si>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</si>
  <si>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</si>
  <si>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</si>
  <si>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</si>
  <si>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</si>
  <si>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</si>
  <si>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</si>
  <si>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</si>
  <si>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</si>
  <si>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</si>
  <si>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</si>
  <si>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</si>
  <si>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</si>
  <si>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</si>
  <si>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</si>
  <si>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</si>
  <si>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</si>
  <si>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</si>
  <si>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</si>
  <si>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</si>
  <si>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</si>
  <si>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</si>
  <si>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</si>
  <si>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</si>
  <si>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</si>
  <si>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</si>
  <si>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</si>
  <si>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</si>
  <si>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</si>
  <si>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</si>
  <si>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</si>
  <si>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</si>
  <si>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</si>
  <si>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</si>
  <si>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</si>
  <si>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</si>
  <si>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</si>
  <si>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</si>
  <si>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</si>
  <si>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</si>
  <si>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</si>
  <si>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</si>
  <si>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</si>
  <si>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</si>
  <si>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</si>
  <si>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</si>
  <si>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</si>
  <si>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</si>
  <si>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</si>
  <si>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</si>
  <si>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</si>
  <si>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</si>
  <si>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</si>
  <si>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</si>
  <si>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</si>
  <si>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</si>
  <si>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</si>
  <si>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</si>
  <si>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</si>
  <si>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</si>
  <si>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</si>
  <si>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</si>
  <si>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</si>
  <si>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</si>
  <si>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</si>
  <si>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</si>
  <si>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</si>
  <si>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</si>
  <si>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</si>
  <si>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</si>
  <si>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</si>
  <si>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</si>
  <si>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</si>
  <si>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</si>
  <si>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</si>
  <si>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</si>
  <si>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</si>
  <si>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</si>
  <si>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</si>
  <si>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</si>
  <si>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</si>
  <si>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</si>
  <si>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</si>
  <si>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</si>
  <si>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</si>
  <si>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</si>
  <si>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</si>
  <si>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</si>
  <si>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</si>
  <si>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</si>
  <si>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</si>
  <si>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</si>
  <si>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</si>
  <si>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</si>
  <si>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</si>
  <si>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</si>
  <si>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</si>
  <si>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</si>
  <si>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</si>
  <si>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</si>
  <si>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</si>
  <si>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</si>
  <si>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</si>
  <si>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</si>
  <si>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</si>
  <si>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</si>
  <si>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</si>
  <si>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</si>
  <si>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</si>
  <si>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</si>
  <si>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</si>
  <si>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</si>
  <si>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</si>
  <si>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</si>
  <si>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</si>
  <si>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</si>
  <si>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</si>
  <si>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</si>
  <si>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</si>
  <si>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</si>
  <si>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</si>
  <si>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</si>
  <si>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</si>
  <si>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</si>
  <si>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</si>
  <si>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</si>
  <si>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</si>
  <si>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</si>
  <si>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</si>
  <si>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</si>
  <si>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</si>
  <si>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</si>
  <si>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</si>
  <si>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</si>
  <si>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</si>
  <si>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</si>
  <si>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</si>
  <si>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</si>
  <si>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</si>
  <si>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</si>
  <si>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</si>
  <si>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</si>
  <si>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</si>
  <si>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</si>
  <si>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</si>
  <si>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</si>
  <si>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</si>
  <si>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</si>
  <si>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</si>
  <si>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</si>
  <si>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</si>
  <si>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</si>
  <si>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</si>
  <si>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</si>
  <si>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</si>
  <si>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</si>
  <si>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</si>
  <si>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</si>
  <si>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</si>
  <si>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</si>
  <si>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</si>
  <si>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</si>
  <si>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</si>
  <si>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</si>
  <si>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</si>
  <si>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</si>
  <si>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</si>
  <si>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</si>
  <si>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</si>
  <si>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</si>
  <si>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</si>
  <si>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</si>
  <si>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</si>
  <si>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</si>
  <si>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</si>
  <si>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</si>
  <si>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</si>
  <si>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</si>
  <si>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</si>
  <si>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</si>
  <si>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</si>
  <si>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</si>
  <si>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</si>
  <si>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</si>
  <si>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</si>
  <si>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</si>
  <si>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</si>
  <si>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</si>
  <si>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</si>
  <si>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</si>
  <si>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</si>
  <si>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</si>
  <si>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</si>
  <si>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</si>
  <si>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</si>
  <si>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</si>
  <si>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</si>
  <si>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</si>
  <si>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</si>
  <si>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</si>
  <si>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</si>
  <si>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</si>
  <si>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</si>
  <si>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</si>
  <si>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</si>
  <si>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</si>
  <si>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</si>
  <si>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</si>
  <si>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</si>
  <si>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</si>
  <si>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</si>
  <si>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</si>
  <si>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</si>
  <si>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</si>
  <si>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</si>
  <si>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</si>
  <si>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</si>
  <si>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</si>
  <si>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</si>
  <si>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</si>
  <si>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</si>
  <si>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</si>
  <si>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</si>
  <si>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</si>
  <si>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</si>
  <si>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</si>
  <si>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</si>
  <si>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</si>
  <si>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</si>
  <si>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</si>
  <si>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</si>
  <si>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</si>
  <si>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</si>
  <si>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</si>
  <si>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</si>
  <si>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</si>
  <si>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</si>
  <si>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</si>
  <si>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</si>
  <si>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</si>
  <si>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</si>
  <si>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</si>
  <si>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</si>
  <si>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</si>
  <si>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</si>
  <si>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</si>
  <si>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</si>
  <si>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</si>
  <si>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</si>
  <si>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</si>
  <si>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</si>
  <si>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</si>
  <si>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</si>
  <si>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</si>
  <si>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</si>
  <si>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</si>
  <si>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</si>
  <si>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</si>
  <si>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</si>
  <si>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</si>
  <si>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</si>
  <si>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</si>
  <si>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</si>
  <si>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</si>
  <si>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</si>
  <si>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</si>
  <si>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</si>
  <si>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</si>
  <si>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</si>
  <si>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</si>
  <si>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</si>
  <si>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</si>
  <si>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</si>
  <si>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</si>
  <si>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</si>
  <si>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</si>
  <si>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</si>
  <si>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</si>
  <si>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</si>
  <si>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</si>
  <si>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</si>
  <si>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</si>
  <si>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</si>
  <si>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</si>
  <si>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</si>
  <si>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</si>
  <si>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</si>
  <si>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</si>
  <si>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</si>
  <si>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</si>
  <si>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</si>
  <si>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</si>
  <si>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</si>
  <si>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</si>
  <si>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</si>
  <si>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</si>
  <si>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</si>
  <si>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</si>
  <si>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</si>
  <si>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</si>
  <si>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</si>
  <si>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</si>
  <si>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</si>
  <si>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</si>
  <si>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</si>
  <si>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</si>
  <si>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</si>
  <si>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</si>
  <si>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</si>
  <si>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</si>
  <si>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</si>
  <si>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</si>
  <si>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</si>
  <si>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</si>
  <si>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</si>
  <si>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</si>
  <si>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</si>
  <si>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</si>
  <si>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</si>
  <si>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</si>
  <si>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</si>
  <si>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</si>
  <si>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</si>
  <si>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</si>
  <si>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</si>
  <si>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</si>
  <si>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</si>
  <si>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</si>
  <si>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</si>
  <si>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</si>
  <si>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</si>
  <si>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</si>
  <si>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</si>
  <si>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</si>
  <si>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</si>
  <si>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</si>
  <si>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</si>
  <si>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</si>
  <si>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</si>
  <si>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</si>
  <si>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</si>
  <si>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</si>
  <si>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</si>
  <si>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</si>
  <si>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</si>
  <si>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</si>
  <si>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</si>
  <si>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</si>
  <si>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</si>
  <si>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</si>
  <si>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</si>
  <si>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</si>
  <si>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</si>
  <si>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</si>
  <si>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</si>
  <si>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</si>
  <si>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</si>
  <si>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</si>
  <si>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</si>
  <si>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</si>
  <si>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</si>
  <si>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</si>
  <si>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</si>
  <si>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</si>
  <si>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</si>
  <si>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</si>
  <si>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</si>
  <si>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</si>
  <si>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</si>
  <si>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</si>
  <si>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</si>
  <si>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</si>
  <si>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</si>
  <si>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</si>
  <si>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</si>
  <si>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</si>
  <si>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</si>
  <si>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</si>
  <si>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</si>
  <si>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</si>
  <si>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</si>
  <si>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</si>
  <si>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</si>
  <si>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</si>
  <si>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</si>
  <si>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</si>
  <si>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</si>
  <si>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</si>
  <si>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</si>
  <si>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</si>
  <si>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</si>
  <si>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</si>
  <si>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</si>
  <si>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</si>
  <si>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</si>
  <si>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</si>
  <si>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</si>
  <si>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</si>
  <si>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</si>
  <si>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</si>
  <si>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</si>
  <si>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</si>
  <si>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</si>
  <si>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</si>
  <si>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</si>
  <si>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</si>
  <si>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</si>
  <si>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</si>
  <si>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</si>
  <si>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</si>
  <si>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</si>
  <si>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</si>
  <si>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</si>
  <si>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</si>
  <si>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</si>
  <si>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</si>
  <si>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</si>
  <si>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</si>
  <si>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</si>
  <si>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</si>
  <si>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</si>
  <si>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</si>
  <si>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</si>
  <si>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</si>
  <si>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</si>
  <si>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</si>
  <si>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</si>
  <si>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</si>
  <si>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</si>
  <si>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</si>
  <si>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</si>
  <si>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</si>
  <si>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</si>
  <si>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</si>
  <si>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</si>
  <si>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</si>
  <si>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</si>
  <si>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</si>
  <si>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</si>
  <si>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</si>
  <si>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</si>
  <si>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</si>
  <si>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</si>
  <si>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</si>
  <si>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</si>
  <si>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</si>
  <si>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</si>
  <si>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</si>
  <si>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</si>
  <si>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</si>
  <si>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</si>
  <si>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</si>
  <si>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</si>
  <si>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</si>
  <si>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</si>
  <si>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</si>
  <si>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</si>
  <si>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</si>
  <si>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</si>
  <si>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</si>
  <si>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</si>
  <si>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</si>
  <si>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</si>
  <si>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</si>
  <si>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</si>
  <si>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</si>
  <si>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</si>
  <si>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</si>
  <si>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</si>
  <si>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</si>
  <si>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</si>
  <si>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</si>
  <si>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</si>
  <si>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</si>
  <si>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</si>
  <si>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</si>
  <si>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</si>
  <si>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</si>
  <si>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</si>
  <si>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</si>
  <si>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</si>
  <si>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</si>
  <si>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</si>
  <si>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</si>
  <si>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</si>
  <si>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</si>
  <si>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</si>
  <si>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</si>
  <si>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</si>
  <si>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</si>
  <si>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</si>
  <si>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</si>
  <si>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</si>
  <si>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</si>
  <si>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</si>
  <si>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</si>
  <si>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</si>
  <si>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</si>
  <si>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</si>
  <si>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</si>
  <si>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</si>
  <si>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</si>
  <si>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</si>
  <si>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</si>
  <si>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</si>
  <si>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</si>
  <si>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</si>
  <si>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</si>
  <si>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</si>
  <si>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</si>
  <si>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</si>
  <si>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</si>
  <si>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</si>
  <si>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</si>
  <si>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</si>
  <si>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</si>
  <si>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</si>
  <si>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</si>
  <si>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</si>
  <si>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</si>
  <si>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</si>
  <si>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</si>
  <si>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</si>
  <si>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</si>
  <si>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</si>
  <si>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</si>
  <si>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</si>
  <si>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</si>
  <si>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</si>
  <si>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</si>
  <si>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</si>
  <si>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</si>
  <si>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</si>
  <si>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</si>
  <si>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</si>
  <si>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</si>
  <si>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</si>
  <si>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</si>
  <si>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</si>
  <si>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</si>
  <si>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</si>
  <si>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</si>
  <si>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</si>
  <si>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</si>
  <si>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</si>
  <si>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</si>
  <si>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</si>
  <si>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</si>
  <si>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</si>
  <si>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</si>
  <si>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</si>
  <si>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</si>
  <si>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</si>
  <si>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</si>
  <si>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</si>
  <si>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</si>
  <si>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</si>
  <si>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</si>
  <si>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</si>
  <si>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</si>
  <si>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</si>
  <si>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</si>
  <si>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</si>
  <si>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</si>
  <si>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</si>
  <si>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</si>
  <si>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</si>
  <si>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</si>
  <si>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</si>
  <si>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</si>
  <si>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</si>
  <si>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</si>
  <si>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</si>
  <si>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</si>
  <si>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</si>
  <si>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</si>
  <si>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</si>
  <si>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</si>
  <si>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</si>
  <si>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</si>
  <si>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</si>
  <si>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</si>
  <si>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</si>
  <si>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</si>
  <si>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</si>
  <si>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</si>
  <si>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</si>
  <si>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</si>
  <si>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</si>
  <si>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</si>
  <si>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</si>
  <si>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</si>
  <si>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</si>
  <si>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</si>
  <si>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</si>
  <si>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</si>
  <si>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</si>
  <si>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</si>
  <si>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</si>
  <si>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</si>
  <si>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</si>
  <si>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</si>
  <si>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</si>
  <si>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</si>
  <si>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</si>
  <si>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</si>
  <si>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</si>
  <si>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</si>
  <si>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</si>
  <si>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</si>
  <si>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</si>
  <si>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</si>
  <si>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</si>
  <si>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</si>
  <si>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</si>
  <si>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</si>
  <si>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</si>
  <si>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</si>
  <si>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</si>
  <si>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</si>
  <si>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</si>
  <si>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</si>
  <si>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</si>
  <si>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</si>
  <si>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</si>
  <si>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</si>
  <si>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</si>
  <si>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</si>
  <si>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</si>
  <si>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</si>
  <si>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</si>
  <si>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</si>
  <si>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</si>
  <si>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</si>
  <si>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</si>
  <si>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</si>
  <si>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</si>
  <si>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</si>
  <si>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</si>
  <si>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</si>
  <si>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</si>
  <si>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</si>
  <si>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</si>
  <si>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</si>
  <si>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</si>
  <si>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</si>
  <si>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</si>
  <si>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</si>
  <si>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</si>
  <si>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</si>
  <si>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</si>
  <si>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</si>
  <si>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</si>
  <si>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</si>
  <si>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</si>
  <si>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</si>
  <si>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</si>
  <si>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</si>
  <si>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</si>
  <si>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</si>
  <si>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</si>
  <si>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</si>
  <si>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</si>
  <si>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</si>
  <si>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</si>
  <si>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</si>
  <si>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</si>
  <si>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</si>
  <si>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</si>
  <si>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</si>
  <si>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</si>
  <si>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</si>
  <si>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</si>
  <si>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</si>
  <si>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</si>
  <si>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</si>
  <si>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</si>
  <si>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</si>
  <si>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</si>
  <si>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</si>
  <si>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</si>
  <si>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</si>
  <si>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</si>
  <si>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</si>
  <si>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</si>
  <si>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</si>
  <si>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</si>
  <si>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</si>
  <si>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</si>
  <si>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</si>
  <si>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</si>
  <si>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</si>
  <si>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</si>
  <si>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</si>
  <si>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</si>
  <si>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</si>
  <si>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</si>
  <si>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</si>
  <si>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</si>
  <si>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</si>
  <si>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</si>
  <si>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</si>
  <si>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</si>
  <si>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</si>
  <si>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</si>
  <si>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</si>
  <si>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</si>
  <si>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</si>
  <si>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</si>
  <si>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</si>
  <si>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</si>
  <si>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</si>
  <si>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</si>
  <si>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</si>
  <si>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</si>
  <si>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</si>
  <si>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</si>
  <si>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</si>
  <si>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</si>
  <si>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</si>
  <si>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</si>
  <si>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</si>
  <si>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</si>
  <si>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</si>
  <si>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</si>
  <si>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</si>
  <si>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</si>
  <si>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</si>
  <si>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</si>
  <si>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</si>
  <si>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</si>
  <si>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</si>
  <si>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</si>
  <si>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</si>
  <si>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</si>
  <si>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</si>
  <si>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</si>
  <si>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</si>
  <si>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</si>
  <si>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</si>
  <si>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</si>
  <si>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</si>
  <si>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</si>
  <si>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</si>
  <si>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</si>
  <si>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</si>
  <si>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</si>
  <si>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</si>
  <si>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</si>
  <si>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</si>
  <si>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</si>
  <si>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</si>
  <si>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</si>
  <si>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</si>
  <si>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</si>
  <si>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</si>
  <si>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</si>
  <si>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</si>
  <si>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</si>
  <si>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</si>
  <si>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</si>
  <si>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</si>
  <si>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</si>
  <si>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</si>
  <si>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</si>
  <si>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</si>
  <si>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</si>
  <si>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</si>
  <si>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</si>
  <si>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</si>
  <si>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</si>
  <si>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</si>
  <si>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</si>
  <si>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</si>
  <si>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</si>
  <si>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</si>
  <si>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</si>
  <si>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</si>
  <si>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</si>
  <si>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</si>
  <si>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</si>
  <si>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</si>
  <si>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</si>
  <si>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</si>
  <si>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</si>
  <si>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</si>
  <si>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</si>
  <si>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</si>
  <si>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</si>
  <si>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</si>
  <si>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</si>
  <si>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</si>
  <si>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</si>
  <si>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</si>
  <si>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</si>
  <si>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</si>
  <si>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</si>
  <si>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</si>
  <si>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</si>
  <si>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</si>
  <si>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</si>
  <si>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</si>
  <si>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</si>
  <si>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</si>
  <si>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</si>
  <si>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</si>
  <si>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</si>
  <si>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</si>
  <si>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</si>
  <si>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</si>
  <si>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</si>
  <si>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</si>
  <si>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</si>
  <si>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</si>
  <si>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</si>
  <si>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</si>
  <si>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</si>
  <si>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</si>
  <si>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</si>
  <si>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</si>
  <si>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</si>
  <si>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</si>
  <si>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</si>
  <si>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</si>
  <si>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</si>
  <si>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</si>
  <si>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</si>
  <si>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</si>
  <si>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</si>
  <si>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</si>
  <si>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</si>
  <si>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</si>
  <si>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</si>
  <si>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</si>
  <si>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</si>
  <si>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</si>
  <si>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</si>
  <si>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</si>
  <si>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</si>
  <si>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</si>
  <si>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</si>
  <si>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</si>
  <si>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</si>
  <si>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</si>
  <si>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</si>
  <si>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</si>
  <si>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</si>
  <si>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</si>
  <si>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</si>
  <si>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</si>
  <si>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</si>
  <si>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</si>
  <si>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</si>
  <si>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</si>
  <si>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</si>
  <si>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</si>
  <si>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</si>
  <si>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</si>
  <si>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</si>
  <si>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</si>
  <si>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</si>
  <si>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</si>
  <si>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</si>
  <si>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</si>
  <si>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</si>
  <si>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</si>
  <si>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</si>
  <si>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</si>
  <si>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</si>
  <si>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</si>
  <si>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</si>
  <si>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</si>
  <si>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</si>
  <si>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</si>
  <si>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</si>
  <si>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</si>
  <si>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</si>
  <si>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</si>
  <si>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</si>
  <si>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</si>
  <si>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</si>
  <si>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</si>
  <si>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</si>
  <si>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</si>
  <si>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</si>
  <si>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</si>
  <si>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</si>
  <si>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</si>
  <si>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</si>
  <si>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</si>
  <si>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</si>
  <si>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</si>
  <si>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</si>
  <si>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</si>
  <si>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</si>
  <si>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</si>
  <si>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</si>
  <si>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</si>
  <si>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</si>
  <si>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</si>
  <si>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</si>
  <si>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</si>
  <si>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</si>
  <si>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</si>
  <si>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</si>
  <si>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</si>
  <si>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</si>
  <si>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</si>
  <si>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</si>
  <si>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</si>
  <si>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</si>
  <si>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</si>
  <si>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</si>
  <si>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</si>
  <si>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</si>
  <si>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</si>
  <si>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</si>
  <si>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</si>
  <si>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</si>
  <si>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</si>
  <si>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</si>
  <si>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</si>
  <si>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</si>
  <si>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</si>
  <si>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</si>
  <si>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</si>
  <si>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</si>
  <si>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</si>
  <si>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</si>
  <si>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</si>
  <si>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</si>
  <si>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</si>
  <si>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</si>
  <si>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</si>
  <si>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</si>
  <si>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</si>
  <si>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</si>
  <si>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</si>
  <si>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</si>
  <si>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</si>
  <si>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</si>
  <si>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</si>
  <si>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</si>
  <si>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</si>
  <si>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</si>
  <si>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</si>
  <si>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</si>
  <si>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</si>
  <si>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</si>
  <si>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</si>
  <si>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</si>
  <si>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</si>
  <si>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</si>
  <si>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</si>
  <si>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</si>
  <si>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</si>
  <si>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</si>
  <si>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</si>
  <si>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</si>
  <si>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</si>
  <si>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</si>
  <si>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</si>
  <si>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</si>
  <si>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</si>
  <si>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</si>
  <si>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</si>
  <si>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</si>
  <si>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</si>
  <si>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</si>
  <si>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</si>
  <si>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</si>
  <si>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</si>
  <si>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</si>
  <si>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</si>
  <si>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</si>
  <si>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</si>
  <si>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</si>
  <si>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</si>
  <si>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</si>
  <si>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</si>
  <si>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</si>
  <si>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</si>
  <si>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</si>
  <si>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</si>
  <si>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</si>
  <si>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</si>
  <si>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</si>
  <si>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</si>
  <si>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</si>
  <si>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</si>
  <si>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</si>
  <si>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</si>
  <si>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</si>
  <si>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</si>
  <si>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</si>
  <si>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</si>
  <si>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</si>
  <si>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</si>
  <si>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</si>
  <si>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</si>
  <si>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</si>
  <si>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</si>
  <si>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</si>
  <si>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</si>
  <si>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</si>
  <si>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</si>
  <si>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</si>
  <si>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</si>
  <si>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</si>
  <si>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</si>
  <si>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</si>
  <si>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</si>
  <si>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</si>
  <si>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</si>
  <si>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</si>
  <si>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</si>
  <si>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</si>
  <si>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</si>
  <si>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</si>
  <si>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</si>
  <si>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</si>
  <si>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</si>
  <si>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</si>
  <si>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</si>
  <si>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</si>
  <si>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</si>
  <si>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</si>
  <si>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</si>
  <si>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</si>
  <si>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</si>
  <si>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</si>
  <si>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</si>
  <si>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</si>
  <si>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</si>
  <si>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</si>
  <si>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</si>
  <si>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</si>
  <si>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</si>
  <si>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</si>
  <si>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</si>
  <si>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</si>
  <si>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</si>
  <si>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</si>
  <si>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</si>
  <si>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</si>
  <si>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</si>
  <si>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</si>
  <si>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</si>
  <si>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</si>
  <si>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</si>
  <si>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</si>
  <si>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</si>
  <si>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</si>
  <si>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</si>
  <si>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</si>
  <si>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</si>
  <si>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</si>
  <si>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</si>
  <si>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</si>
  <si>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</si>
  <si>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</si>
  <si>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</si>
  <si>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</si>
  <si>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</si>
  <si>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</si>
  <si>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</si>
  <si>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</si>
  <si>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</si>
  <si>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</si>
  <si>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</si>
  <si>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</si>
  <si>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</si>
  <si>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</si>
  <si>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</si>
  <si>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</si>
  <si>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</si>
  <si>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</si>
  <si>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</si>
  <si>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</si>
  <si>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</si>
  <si>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</si>
  <si>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</si>
  <si>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</si>
  <si>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</si>
  <si>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</si>
  <si>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</si>
  <si>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</si>
  <si>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</si>
  <si>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</si>
  <si>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</si>
  <si>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</si>
  <si>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</si>
  <si>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</si>
  <si>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</si>
  <si>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</si>
  <si>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</si>
  <si>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</si>
  <si>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</si>
  <si>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</si>
  <si>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</si>
  <si>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</si>
  <si>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</si>
  <si>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</si>
  <si>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</si>
  <si>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</si>
  <si>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</si>
  <si>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</si>
  <si>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</si>
  <si>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</si>
  <si>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</si>
  <si>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</si>
  <si>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</si>
  <si>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</si>
  <si>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</si>
  <si>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</si>
  <si>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</si>
  <si>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</si>
  <si>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</si>
  <si>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</si>
  <si>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</si>
  <si>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</si>
  <si>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</si>
  <si>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</si>
  <si>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</si>
  <si>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</si>
  <si>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</si>
  <si>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</si>
  <si>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</si>
  <si>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</si>
  <si>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</si>
  <si>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</si>
  <si>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</si>
  <si>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</si>
  <si>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</si>
  <si>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</si>
  <si>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</si>
  <si>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</si>
  <si>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</si>
  <si>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</si>
  <si>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</si>
  <si>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</si>
  <si>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</si>
  <si>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</si>
  <si>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</si>
  <si>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</si>
  <si>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</si>
  <si>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</si>
  <si>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</si>
  <si>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</si>
  <si>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</si>
  <si>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</si>
  <si>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</si>
  <si>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</si>
  <si>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</si>
  <si>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</si>
  <si>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</si>
  <si>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</si>
  <si>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</si>
  <si>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</si>
  <si>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</si>
  <si>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</si>
  <si>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</si>
  <si>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</si>
  <si>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</si>
  <si>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</si>
  <si>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</si>
  <si>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</si>
  <si>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</si>
  <si>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</si>
  <si>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</si>
  <si>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</si>
  <si>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</si>
  <si>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</si>
  <si>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</si>
  <si>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</si>
  <si>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</si>
  <si>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</si>
  <si>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</si>
  <si>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</si>
  <si>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</si>
  <si>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</si>
  <si>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</si>
  <si>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</si>
  <si>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</si>
  <si>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</si>
  <si>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</si>
  <si>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</si>
  <si>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</si>
  <si>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</si>
  <si>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</si>
  <si>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</si>
  <si>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</si>
  <si>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</si>
  <si>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</si>
  <si>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</si>
  <si>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</si>
  <si>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</si>
  <si>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</si>
  <si>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</si>
  <si>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</si>
  <si>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</si>
  <si>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</si>
  <si>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</si>
  <si>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</si>
  <si>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</si>
  <si>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</si>
  <si>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</si>
  <si>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</si>
  <si>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</si>
  <si>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</si>
  <si>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</si>
  <si>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</si>
  <si>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</si>
  <si>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</si>
  <si>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</si>
  <si>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</si>
  <si>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</si>
  <si>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</si>
  <si>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</si>
  <si>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</si>
  <si>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</si>
  <si>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</si>
  <si>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</si>
  <si>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</si>
  <si>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</si>
  <si>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</si>
  <si>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</si>
  <si>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</si>
  <si>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</si>
  <si>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</si>
  <si>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</si>
  <si>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</si>
  <si>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</si>
  <si>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</si>
  <si>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</si>
  <si>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</si>
  <si>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</si>
  <si>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</si>
  <si>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</si>
  <si>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</si>
  <si>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</si>
  <si>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</si>
  <si>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</si>
  <si>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</si>
  <si>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</si>
  <si>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</si>
  <si>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</si>
  <si>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</si>
  <si>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</si>
  <si>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</si>
  <si>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</si>
  <si>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</si>
  <si>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</si>
  <si>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</si>
  <si>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</si>
  <si>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</si>
  <si>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</si>
  <si>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</si>
  <si>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</si>
  <si>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</si>
  <si>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</si>
  <si>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</si>
  <si>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</si>
  <si>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</si>
  <si>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</si>
  <si>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</si>
  <si>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</si>
  <si>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</si>
  <si>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</si>
  <si>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</si>
  <si>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</si>
  <si>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</si>
  <si>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</si>
  <si>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</si>
  <si>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</si>
  <si>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</si>
  <si>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</si>
  <si>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</si>
  <si>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</si>
  <si>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</si>
  <si>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</si>
  <si>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</si>
  <si>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</si>
  <si>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</si>
  <si>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</si>
  <si>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</si>
  <si>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</si>
  <si>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</si>
  <si>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</si>
  <si>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</si>
  <si>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</si>
  <si>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</si>
  <si>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</si>
  <si>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</si>
  <si>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</si>
  <si>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</si>
  <si>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</si>
  <si>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</si>
  <si>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</si>
  <si>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</si>
  <si>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</si>
  <si>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</si>
  <si>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</si>
  <si>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</si>
  <si>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</si>
  <si>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</si>
  <si>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</si>
  <si>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</si>
  <si>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</si>
  <si>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</si>
  <si>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</si>
  <si>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</si>
  <si>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</si>
  <si>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</si>
  <si>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</si>
  <si>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</si>
  <si>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</si>
  <si>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</si>
  <si>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</si>
  <si>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</si>
  <si>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</si>
  <si>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</si>
  <si>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</si>
  <si>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</si>
  <si>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</si>
  <si>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</si>
  <si>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</si>
  <si>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</si>
  <si>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</si>
  <si>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</si>
  <si>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</si>
  <si>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</si>
  <si>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</si>
  <si>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</si>
  <si>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</si>
  <si>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</si>
  <si>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</si>
  <si>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</si>
  <si>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</si>
  <si>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</si>
  <si>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</si>
  <si>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</si>
  <si>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</si>
  <si>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</si>
  <si>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</si>
  <si>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</si>
  <si>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</si>
  <si>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</si>
  <si>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</si>
  <si>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</si>
  <si>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</si>
  <si>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</si>
  <si>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</si>
  <si>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</si>
  <si>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</si>
  <si>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</si>
  <si>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</si>
  <si>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</si>
  <si>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</si>
  <si>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</si>
  <si>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</si>
  <si>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</si>
  <si>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</si>
  <si>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</si>
  <si>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</si>
  <si>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</si>
  <si>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</si>
  <si>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</si>
  <si>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</si>
  <si>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</si>
  <si>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</si>
  <si>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</si>
  <si>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</si>
  <si>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</si>
  <si>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</si>
  <si>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</si>
  <si>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</si>
  <si>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</si>
  <si>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</si>
  <si>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</si>
  <si>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</si>
  <si>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</si>
  <si>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</si>
  <si>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</si>
  <si>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</si>
  <si>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</si>
  <si>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</si>
  <si>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</si>
  <si>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</si>
  <si>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</si>
  <si>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</si>
  <si>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</si>
  <si>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</si>
  <si>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</si>
  <si>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</si>
  <si>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</si>
  <si>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</si>
  <si>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</si>
  <si>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</si>
  <si>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</si>
  <si>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</si>
  <si>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</si>
  <si>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</si>
  <si>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</si>
  <si>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</si>
  <si>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</si>
  <si>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</si>
  <si>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</si>
  <si>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</si>
  <si>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</si>
  <si>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</si>
  <si>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</si>
  <si>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</si>
  <si>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</si>
  <si>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</si>
  <si>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</si>
  <si>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</si>
  <si>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</si>
  <si>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</si>
  <si>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</si>
  <si>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</si>
  <si>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</si>
  <si>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</si>
  <si>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</si>
  <si>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</si>
  <si>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</si>
  <si>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</si>
  <si>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</si>
  <si>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</si>
  <si>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</si>
  <si>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</si>
  <si>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</si>
  <si>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</si>
  <si>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</si>
  <si>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</si>
  <si>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</si>
  <si>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</si>
  <si>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</si>
  <si>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</si>
  <si>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</si>
  <si>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</si>
  <si>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</si>
  <si>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</si>
  <si>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</si>
  <si>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</si>
  <si>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</si>
  <si>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</si>
  <si>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</si>
  <si>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</si>
  <si>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</si>
  <si>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</si>
  <si>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</si>
  <si>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</si>
  <si>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</si>
  <si>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</si>
  <si>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</si>
  <si>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</si>
  <si>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</si>
  <si>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</si>
  <si>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</si>
  <si>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</si>
  <si>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</si>
  <si>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</si>
  <si>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</si>
  <si>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</si>
  <si>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</si>
  <si>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</si>
  <si>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</si>
  <si>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</si>
  <si>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</si>
  <si>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</si>
  <si>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</si>
  <si>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</si>
  <si>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</si>
  <si>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</si>
  <si>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</si>
  <si>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</si>
  <si>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</si>
  <si>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</si>
  <si>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</si>
  <si>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</si>
  <si>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</si>
  <si>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</si>
  <si>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</si>
  <si>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</si>
  <si>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</si>
  <si>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</si>
  <si>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</si>
  <si>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</si>
  <si>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</si>
  <si>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</si>
  <si>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</si>
  <si>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</si>
  <si>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</si>
  <si>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</si>
  <si>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</si>
  <si>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</si>
  <si>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</si>
  <si>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</si>
  <si>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</si>
  <si>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</si>
  <si>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</si>
  <si>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</si>
  <si>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</si>
  <si>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</si>
  <si>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</si>
  <si>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</si>
  <si>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</si>
  <si>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</si>
  <si>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</si>
  <si>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</si>
  <si>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</si>
  <si>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</si>
  <si>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</si>
  <si>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</si>
  <si>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</si>
  <si>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</si>
  <si>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</si>
  <si>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</si>
  <si>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</si>
  <si>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</si>
  <si>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</si>
  <si>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</si>
  <si>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</si>
  <si>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</si>
  <si>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</si>
  <si>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</si>
  <si>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</si>
  <si>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</si>
  <si>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</si>
  <si>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</si>
  <si>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</si>
  <si>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</si>
  <si>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</si>
  <si>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</si>
  <si>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</si>
  <si>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</si>
  <si>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</si>
  <si>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</si>
  <si>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</si>
  <si>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</si>
  <si>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</si>
  <si>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</si>
  <si>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</si>
  <si>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</si>
  <si>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</si>
  <si>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</si>
  <si>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</si>
  <si>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</si>
  <si>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</si>
  <si>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</si>
  <si>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</si>
  <si>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</si>
  <si>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</si>
  <si>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</si>
  <si>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</si>
  <si>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</si>
  <si>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</si>
  <si>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</si>
  <si>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</si>
  <si>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</si>
  <si>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</si>
  <si>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</si>
  <si>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</si>
  <si>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</si>
  <si>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</si>
  <si>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</si>
  <si>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</si>
  <si>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</si>
  <si>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</si>
  <si>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</si>
  <si>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</si>
  <si>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</si>
  <si>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</si>
  <si>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</si>
  <si>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</si>
  <si>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</si>
  <si>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</si>
  <si>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</si>
  <si>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</si>
  <si>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</si>
  <si>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</si>
  <si>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</si>
  <si>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</si>
  <si>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</si>
  <si>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</si>
  <si>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</si>
  <si>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</si>
  <si>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</si>
  <si>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</si>
  <si>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</si>
  <si>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</si>
  <si>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</si>
  <si>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</si>
  <si>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</si>
  <si>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</si>
  <si>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</si>
  <si>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</si>
  <si>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</si>
  <si>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</si>
  <si>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</si>
  <si>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</si>
  <si>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</si>
  <si>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</si>
  <si>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</si>
  <si>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</si>
  <si>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</si>
  <si>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</si>
  <si>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</si>
  <si>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</si>
  <si>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</si>
  <si>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</si>
  <si>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</si>
  <si>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</si>
  <si>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</si>
  <si>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</si>
  <si>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</si>
  <si>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</si>
  <si>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</si>
  <si>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</si>
  <si>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</si>
  <si>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</si>
  <si>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</si>
  <si>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</si>
  <si>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</si>
  <si>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</si>
  <si>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</si>
  <si>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</si>
  <si>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</si>
  <si>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</si>
  <si>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</si>
  <si>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</si>
  <si>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</si>
  <si>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</si>
  <si>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</si>
  <si>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</si>
  <si>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</si>
  <si>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</si>
  <si>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</si>
  <si>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</si>
  <si>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</si>
  <si>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</si>
  <si>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</si>
  <si>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</si>
  <si>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</si>
  <si>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</si>
  <si>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</si>
  <si>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</si>
  <si>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</si>
  <si>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</si>
  <si>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</si>
  <si>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</si>
  <si>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</si>
  <si>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</si>
  <si>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</si>
  <si>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</si>
  <si>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</si>
  <si>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</si>
  <si>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</si>
  <si>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</si>
  <si>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</si>
  <si>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</si>
  <si>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</si>
  <si>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</si>
  <si>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</si>
  <si>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</si>
  <si>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</si>
  <si>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</si>
  <si>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</si>
  <si>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</si>
  <si>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</si>
  <si>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</si>
  <si>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</si>
  <si>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</si>
  <si>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</si>
  <si>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</si>
  <si>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</si>
  <si>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</si>
  <si>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</si>
  <si>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</si>
  <si>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</si>
  <si>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</si>
  <si>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</si>
  <si>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</si>
  <si>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</si>
  <si>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</si>
  <si>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</si>
  <si>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</si>
  <si>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</si>
  <si>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</si>
  <si>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</si>
  <si>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</si>
  <si>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</si>
  <si>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</si>
  <si>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</si>
  <si>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</si>
  <si>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</si>
  <si>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</si>
  <si>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</si>
  <si>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</si>
  <si>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</si>
  <si>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</si>
  <si>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</si>
  <si>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</si>
  <si>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</si>
  <si>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</si>
  <si>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</si>
  <si>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</si>
  <si>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</si>
  <si>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</si>
  <si>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</si>
  <si>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</si>
  <si>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</si>
  <si>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</si>
  <si>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</si>
  <si>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</si>
  <si>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</si>
  <si>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</si>
  <si>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</si>
  <si>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</si>
  <si>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</si>
  <si>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</si>
  <si>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</si>
  <si>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</si>
  <si>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</si>
  <si>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</si>
  <si>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</si>
  <si>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</si>
  <si>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</si>
  <si>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</si>
  <si>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</si>
  <si>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</si>
  <si>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</si>
  <si>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</si>
  <si>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</si>
  <si>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</si>
  <si>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</si>
  <si>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</si>
  <si>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</si>
  <si>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</si>
  <si>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</si>
  <si>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</si>
  <si>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</si>
  <si>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</si>
  <si>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</si>
  <si>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</si>
  <si>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</si>
  <si>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</si>
  <si>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</si>
  <si>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</si>
  <si>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</si>
  <si>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</si>
  <si>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</si>
  <si>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</si>
  <si>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</si>
  <si>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</si>
  <si>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</si>
  <si>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</si>
  <si>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</si>
  <si>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</si>
  <si>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</si>
  <si>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</si>
  <si>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</si>
  <si>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</si>
  <si>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</si>
  <si>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</si>
  <si>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</si>
  <si>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</si>
  <si>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</si>
  <si>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</si>
  <si>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</si>
  <si>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</si>
  <si>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</si>
  <si>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</si>
  <si>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</si>
  <si>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</si>
  <si>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</si>
  <si>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</si>
  <si>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</si>
  <si>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</si>
  <si>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</si>
  <si>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</si>
  <si>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</si>
  <si>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</si>
  <si>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</si>
  <si>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</si>
  <si>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</si>
  <si>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</si>
  <si>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</si>
  <si>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</si>
  <si>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</si>
  <si>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</si>
  <si>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</si>
  <si>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</si>
  <si>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</si>
  <si>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</si>
  <si>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</si>
  <si>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</si>
  <si>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</si>
  <si>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</si>
  <si>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</si>
  <si>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</si>
  <si>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</si>
  <si>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</si>
  <si>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</si>
  <si>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</si>
  <si>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</si>
  <si>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</si>
  <si>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</si>
  <si>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</si>
  <si>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</si>
  <si>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</si>
  <si>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</si>
  <si>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</si>
  <si>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</si>
  <si>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</si>
  <si>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</si>
  <si>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</si>
  <si>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</si>
  <si>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</si>
  <si>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</si>
  <si>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</si>
  <si>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</si>
  <si>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</si>
  <si>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</si>
  <si>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</si>
  <si>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</si>
  <si>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</si>
  <si>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</si>
  <si>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</si>
  <si>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</si>
  <si>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</si>
  <si>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</si>
  <si>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</si>
  <si>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</si>
  <si>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</si>
  <si>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</si>
  <si>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</si>
  <si>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</si>
  <si>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</si>
  <si>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</si>
  <si>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</si>
  <si>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</si>
  <si>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</si>
  <si>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</si>
  <si>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</si>
  <si>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</si>
  <si>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</si>
  <si>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</si>
  <si>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</si>
  <si>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</si>
  <si>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</si>
  <si>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</si>
  <si>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</si>
  <si>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</si>
  <si>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</si>
  <si>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</si>
  <si>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</si>
  <si>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</si>
  <si>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</si>
  <si>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</si>
  <si>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</si>
  <si>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</si>
  <si>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</si>
  <si>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</si>
  <si>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</si>
  <si>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</si>
  <si>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</si>
  <si>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</si>
  <si>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</si>
  <si>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</si>
  <si>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</si>
  <si>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</si>
  <si>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</si>
  <si>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</si>
  <si>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</si>
  <si>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</si>
  <si>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</si>
  <si>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</si>
  <si>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</si>
  <si>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</si>
  <si>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</si>
  <si>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</si>
  <si>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</si>
  <si>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</si>
  <si>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</si>
  <si>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</si>
  <si>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</si>
  <si>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</si>
  <si>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</si>
  <si>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</si>
  <si>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</si>
  <si>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</si>
  <si>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</si>
  <si>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</si>
  <si>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</si>
  <si>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</si>
  <si>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</si>
  <si>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</si>
  <si>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</si>
  <si>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</si>
  <si>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</si>
  <si>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</si>
  <si>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</si>
  <si>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</si>
  <si>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</si>
  <si>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</si>
  <si>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</si>
  <si>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</si>
  <si>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</si>
  <si>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</si>
  <si>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</si>
  <si>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</si>
  <si>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</si>
  <si>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</si>
  <si>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</si>
  <si>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</si>
  <si>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</si>
  <si>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</si>
  <si>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</si>
  <si>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</si>
  <si>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</si>
  <si>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</si>
  <si>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</si>
  <si>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</si>
  <si>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</si>
  <si>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</si>
  <si>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</si>
  <si>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</si>
  <si>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</si>
  <si>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</si>
  <si>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</si>
  <si>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</si>
  <si>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</si>
  <si>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</si>
  <si>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</si>
  <si>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</si>
  <si>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</si>
  <si>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</si>
  <si>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</si>
  <si>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</si>
  <si>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</si>
  <si>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</si>
  <si>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</si>
  <si>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</si>
  <si>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</si>
  <si>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</si>
  <si>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</si>
  <si>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</si>
  <si>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</si>
  <si>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</si>
  <si>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</si>
  <si>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</si>
  <si>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</si>
  <si>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</si>
  <si>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</si>
  <si>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</si>
  <si>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</si>
  <si>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</si>
  <si>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</si>
  <si>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</si>
  <si>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</si>
  <si>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</si>
  <si>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</si>
  <si>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</si>
  <si>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</si>
  <si>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</si>
  <si>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</si>
  <si>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</si>
  <si>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</si>
  <si>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</si>
  <si>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</si>
  <si>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</si>
  <si>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</si>
  <si>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</si>
  <si>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</si>
  <si>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</si>
  <si>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</si>
  <si>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</si>
  <si>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</si>
  <si>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</si>
  <si>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</si>
  <si>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</si>
  <si>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</si>
  <si>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</si>
  <si>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</si>
  <si>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</si>
  <si>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</si>
  <si>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</si>
  <si>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</si>
  <si>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</si>
  <si>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</si>
  <si>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</si>
  <si>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</si>
  <si>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</si>
  <si>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</si>
  <si>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</si>
  <si>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</si>
  <si>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</si>
  <si>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</si>
  <si>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</si>
  <si>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</si>
  <si>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</si>
  <si>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</si>
  <si>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</si>
  <si>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</si>
  <si>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</si>
  <si>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</si>
  <si>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</si>
  <si>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</si>
  <si>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</si>
  <si>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</si>
  <si>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</si>
  <si>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</si>
  <si>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</si>
  <si>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</si>
  <si>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</si>
  <si>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</si>
  <si>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</si>
  <si>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</si>
  <si>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</si>
  <si>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</si>
  <si>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</si>
  <si>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</si>
  <si>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</si>
  <si>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</si>
  <si>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</si>
  <si>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</si>
  <si>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</si>
  <si>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</si>
  <si>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</si>
  <si>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</si>
  <si>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</si>
  <si>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</si>
  <si>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</si>
  <si>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</si>
  <si>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</si>
  <si>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</si>
  <si>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</si>
  <si>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</si>
  <si>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</si>
  <si>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</si>
  <si>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</si>
  <si>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</si>
  <si>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</si>
  <si>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</si>
  <si>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</si>
  <si>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</si>
  <si>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</si>
  <si>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</si>
  <si>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</si>
  <si>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</si>
  <si>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</si>
  <si>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</si>
  <si>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</si>
  <si>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</si>
  <si>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</si>
  <si>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</si>
  <si>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</si>
  <si>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</si>
  <si>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</si>
  <si>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</si>
  <si>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</si>
  <si>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</si>
  <si>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</si>
  <si>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</si>
  <si>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</si>
  <si>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</si>
  <si>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</si>
  <si>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</si>
  <si>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</si>
  <si>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</si>
  <si>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</si>
  <si>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</si>
  <si>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</si>
  <si>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</si>
  <si>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</si>
  <si>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</si>
  <si>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</si>
  <si>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</si>
  <si>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</si>
  <si>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</si>
  <si>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</si>
  <si>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</si>
  <si>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</si>
  <si>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</si>
  <si>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</si>
  <si>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</si>
  <si>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</si>
  <si>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</si>
  <si>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</si>
  <si>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</si>
  <si>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</si>
  <si>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</si>
  <si>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</si>
  <si>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</si>
  <si>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</si>
  <si>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</si>
  <si>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</si>
  <si>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</si>
  <si>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</si>
  <si>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</si>
  <si>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</si>
  <si>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</si>
  <si>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</si>
  <si>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</si>
  <si>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</si>
  <si>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</si>
  <si>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</si>
  <si>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</si>
  <si>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</si>
  <si>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</si>
  <si>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</si>
  <si>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</si>
  <si>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</si>
  <si>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</si>
  <si>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</si>
  <si>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</si>
  <si>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</si>
  <si>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</si>
  <si>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</si>
  <si>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</si>
  <si>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</si>
  <si>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正常</t>
  </si>
  <si>
    <t>联排</t>
  </si>
  <si>
    <t>九龙山风景区</t>
    <phoneticPr fontId="3" type="noConversion"/>
  </si>
  <si>
    <t>较差</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</si>
  <si>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</si>
  <si>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</si>
  <si>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</si>
  <si>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</si>
  <si>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</si>
  <si>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</si>
  <si>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</si>
  <si>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</si>
  <si>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</si>
  <si>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</si>
  <si>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</si>
  <si>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</si>
  <si>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</si>
  <si>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</si>
  <si>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</si>
  <si>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</si>
  <si>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</si>
  <si>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</si>
  <si>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</si>
  <si>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</si>
  <si>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</si>
  <si>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</si>
  <si>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</si>
  <si>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</si>
  <si>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</si>
  <si>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</si>
  <si>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</si>
  <si>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</si>
  <si>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</si>
  <si>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</si>
  <si>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</si>
  <si>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</si>
  <si>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</si>
  <si>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</si>
  <si>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</si>
  <si>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</si>
  <si>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</si>
  <si>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</si>
  <si>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</si>
  <si>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</si>
  <si>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</si>
  <si>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</si>
  <si>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</si>
  <si>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</si>
  <si>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</si>
  <si>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</si>
  <si>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</si>
  <si>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</si>
  <si>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</si>
  <si>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</si>
  <si>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</si>
  <si>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</si>
  <si>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</si>
  <si>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</si>
  <si>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</si>
  <si>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</si>
  <si>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</si>
  <si>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</si>
  <si>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</si>
  <si>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</si>
  <si>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</si>
  <si>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</si>
  <si>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</si>
  <si>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</si>
  <si>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</si>
  <si>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</si>
  <si>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</si>
  <si>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</si>
  <si>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</si>
  <si>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</si>
  <si>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</si>
  <si>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</si>
  <si>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</si>
  <si>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</si>
  <si>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</si>
  <si>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</si>
  <si>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</si>
  <si>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</si>
  <si>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</si>
  <si>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</si>
  <si>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</si>
  <si>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</si>
  <si>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</si>
  <si>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</si>
  <si>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</si>
  <si>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</si>
  <si>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</si>
  <si>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</si>
  <si>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</si>
  <si>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</si>
  <si>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</si>
  <si>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</si>
  <si>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</si>
  <si>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</si>
  <si>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</si>
  <si>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</si>
  <si>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</si>
  <si>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</si>
  <si>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</si>
  <si>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</si>
  <si>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</si>
  <si>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</si>
  <si>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</si>
  <si>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</si>
  <si>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</si>
  <si>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</si>
  <si>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</si>
  <si>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</si>
  <si>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</si>
  <si>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</si>
  <si>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</si>
  <si>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</si>
  <si>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</si>
  <si>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</si>
  <si>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</si>
  <si>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</si>
  <si>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</si>
  <si>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</si>
  <si>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</si>
  <si>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</si>
  <si>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</si>
  <si>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</si>
  <si>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</si>
  <si>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</si>
  <si>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</si>
  <si>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</si>
  <si>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</si>
  <si>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</si>
  <si>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</si>
  <si>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</si>
  <si>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</si>
  <si>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</si>
  <si>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</si>
  <si>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宝华镇滨河路西侧、宝一路南侧</t>
    <phoneticPr fontId="23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</si>
  <si>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</si>
  <si>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</si>
  <si>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</si>
  <si>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</si>
  <si>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</si>
  <si>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</si>
  <si>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</si>
  <si>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</si>
  <si>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</si>
  <si>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</si>
  <si>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</si>
  <si>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</si>
  <si>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</si>
  <si>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</si>
  <si>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</si>
  <si>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</si>
  <si>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</si>
  <si>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</si>
  <si>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</si>
  <si>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</si>
  <si>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</si>
  <si>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</si>
  <si>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</si>
  <si>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</si>
  <si>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</si>
  <si>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</si>
  <si>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</si>
  <si>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</si>
  <si>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</si>
  <si>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</si>
  <si>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</si>
  <si>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</si>
  <si>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</si>
  <si>
    <t>按租金收入计税</t>
  </si>
  <si>
    <t>宝华镇滨河路西侧、宝一路南侧</t>
    <phoneticPr fontId="3" type="noConversion"/>
  </si>
  <si>
    <t>支路</t>
  </si>
  <si>
    <t>规则</t>
  </si>
  <si>
    <t>较规则</t>
  </si>
  <si>
    <t>较不规则</t>
  </si>
  <si>
    <t>不规则</t>
  </si>
  <si>
    <t>茅山湾壹号院</t>
    <phoneticPr fontId="3" type="noConversion"/>
  </si>
  <si>
    <t>万福山庄</t>
    <phoneticPr fontId="3" type="noConversion"/>
  </si>
  <si>
    <t>高德庄园</t>
    <phoneticPr fontId="3" type="noConversion"/>
  </si>
  <si>
    <t>次干道</t>
  </si>
  <si>
    <t>次干道</t>
    <phoneticPr fontId="21" type="noConversion"/>
  </si>
  <si>
    <t>次干道</t>
    <phoneticPr fontId="21" type="noConversion"/>
  </si>
  <si>
    <t>211县道</t>
    <phoneticPr fontId="26" type="noConversion"/>
  </si>
  <si>
    <t>容广路</t>
    <phoneticPr fontId="26" type="noConversion"/>
  </si>
  <si>
    <t>茅山大道</t>
    <phoneticPr fontId="26" type="noConversion"/>
  </si>
  <si>
    <t>滨河路</t>
    <phoneticPr fontId="26" type="noConversion"/>
  </si>
  <si>
    <t>宝华镇宝四路东侧、牡丹西路南侧局部地块A</t>
  </si>
  <si>
    <t>＞1且＜2.5</t>
  </si>
  <si>
    <t>2017-04-19</t>
  </si>
  <si>
    <t>宝华镇经六路东侧、宝二路南侧局部地块</t>
  </si>
  <si>
    <t>＞1且＜2</t>
  </si>
  <si>
    <t>句容碧伯房地产开发有限公司</t>
  </si>
  <si>
    <t>宝华镇宝四路东侧、牡丹西路南侧局部地块B</t>
  </si>
  <si>
    <t>赤山湖管委会环山路南侧</t>
  </si>
  <si>
    <t>2017-02-15</t>
  </si>
  <si>
    <t>江苏协鑫房地产有限公司</t>
  </si>
  <si>
    <t>赤山湖管委会朝阳路南侧、赤金路西侧</t>
  </si>
  <si>
    <t>赤山湖管委会朝阳路北侧</t>
  </si>
  <si>
    <t>赤山湖管委会朝阳路南侧</t>
  </si>
  <si>
    <t>大于1并且小于1.2</t>
  </si>
  <si>
    <t>赤山湖管委会243省道北侧</t>
  </si>
  <si>
    <t>赤山湖管委会环山东路东侧</t>
  </si>
  <si>
    <t>赤山湖管委会赤金路东侧、朝阳路西侧</t>
  </si>
  <si>
    <t>华阳镇河滨南路北侧、高骊山路西侧</t>
  </si>
  <si>
    <t>郭庄镇凤仪路北侧</t>
  </si>
  <si>
    <t>大于1并且小于1.3</t>
  </si>
  <si>
    <t>江苏广升置业有限公司</t>
  </si>
  <si>
    <t>宝华镇仙林东路南侧、鸿堰南路东侧</t>
  </si>
  <si>
    <t>大于1并且小于3.4</t>
  </si>
  <si>
    <t>2016-11-02</t>
  </si>
  <si>
    <t>句容远融置业有限公司</t>
  </si>
  <si>
    <t>宝华镇射乌桥路南侧</t>
  </si>
  <si>
    <t>江苏成至经济发展有限公司</t>
  </si>
  <si>
    <t>宝华镇仙林东路南侧、黄墅路东侧</t>
  </si>
  <si>
    <t>大于1并且小于3.3</t>
  </si>
  <si>
    <t>句容恭华房地产开发有限公司、句容同康医院有限公司</t>
  </si>
  <si>
    <t>长龙山路南侧、二圣路北侧局部地块B</t>
  </si>
  <si>
    <t>2016-07-27</t>
  </si>
  <si>
    <t>句容弘业房地产开发有限公司</t>
  </si>
  <si>
    <t>隆昌路南侧、句卓路西侧局部地块A</t>
  </si>
  <si>
    <t>江苏尚元城镇建设有限公司</t>
  </si>
  <si>
    <t>洪武路东侧、二圣路北侧局部地块B</t>
  </si>
  <si>
    <t>句容尚元医疗产业投资有限公司</t>
  </si>
  <si>
    <t>洪武路东侧、二圣路北侧局部地块A</t>
  </si>
  <si>
    <t>赤山湖管委会朝阳路南侧、赤金路西侧</t>
    <phoneticPr fontId="233" type="noConversion"/>
  </si>
  <si>
    <t>赤山湖管委会朝阳路南侧、赤金路西侧</t>
    <phoneticPr fontId="3" type="noConversion"/>
  </si>
  <si>
    <t>普罗旺斯小镇</t>
    <phoneticPr fontId="26" type="noConversion"/>
  </si>
  <si>
    <r>
      <rPr>
        <sz val="11"/>
        <rFont val="宋体"/>
        <family val="3"/>
        <charset val="134"/>
      </rPr>
      <t>溧水</t>
    </r>
    <r>
      <rPr>
        <sz val="11"/>
        <rFont val="Arial"/>
        <family val="2"/>
      </rPr>
      <t>13</t>
    </r>
    <r>
      <rPr>
        <sz val="11"/>
        <rFont val="宋体"/>
        <family val="3"/>
        <charset val="134"/>
      </rPr>
      <t>路</t>
    </r>
    <phoneticPr fontId="26" type="noConversion"/>
  </si>
  <si>
    <t>茅山管委会茅山大道东侧、万寿路南侧</t>
    <phoneticPr fontId="3" type="noConversion"/>
  </si>
  <si>
    <t>中国邮政储蓄银行、郭庄医院、郭庄中学、句容大润发玛特超市</t>
    <phoneticPr fontId="26" type="noConversion"/>
  </si>
  <si>
    <t>售价</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</si>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</sst>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7" fillId="0" borderId="153" xfId="0" applyFont="1" applyBorder="1" applyAlignment="1">
      <alignment vertical="center" wrapText="1"/>
    </xf>
    <xf numFmtId="0" fontId="277" fillId="0" borderId="154" xfId="0" applyFont="1" applyBorder="1" applyAlignment="1">
      <alignment vertical="center" wrapText="1"/>
    </xf>
    <xf numFmtId="0" fontId="86" fillId="6" borderId="0" xfId="15" applyFill="1"/>
    <xf numFmtId="0" fontId="86" fillId="0" borderId="0" xfId="15"/>
    <xf numFmtId="0" fontId="0" fillId="6" borderId="0" xfId="0" applyFill="1">
      <alignment vertical="center"/>
    </xf>
    <xf numFmtId="0" fontId="127" fillId="6" borderId="0" xfId="15" applyFont="1" applyFill="1"/>
    <xf numFmtId="49" fontId="144" fillId="0" borderId="5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541;&#23665;&#20272;&#20215;&#23545;&#35937;2&#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20272;&#20215;&#23545;&#35937;3&#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541;&#23665;&#20272;&#20215;&#23545;&#35937;4&#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20272;&#20215;&#23545;&#35937;5&#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3541;&#23665;&#20272;&#20215;&#23545;&#35937;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2673</v>
          </cell>
        </row>
        <row r="38">
          <cell r="K38">
            <v>18134</v>
          </cell>
          <cell r="L38">
            <v>14507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2102</v>
          </cell>
        </row>
        <row r="38">
          <cell r="K38">
            <v>14385</v>
          </cell>
          <cell r="L38">
            <v>11508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3441</v>
          </cell>
        </row>
        <row r="38">
          <cell r="K38">
            <v>16267</v>
          </cell>
          <cell r="L38">
            <v>17894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4681</v>
          </cell>
        </row>
        <row r="38">
          <cell r="K38">
            <v>22739</v>
          </cell>
          <cell r="L38">
            <v>25013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2392</v>
          </cell>
        </row>
        <row r="38">
          <cell r="K38">
            <v>11394</v>
          </cell>
          <cell r="L38">
            <v>12533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2797</v>
      </c>
    </row>
    <row r="47" spans="1:2">
      <c r="A47" s="2877" t="s">
        <v>2726</v>
      </c>
      <c r="B47" s="2878">
        <f ca="1">'预评函-2'!Q5</f>
        <v>2331</v>
      </c>
    </row>
    <row r="48" spans="1:2">
      <c r="A48" s="2877" t="s">
        <v>2727</v>
      </c>
      <c r="B48" s="2878">
        <f ca="1">'预评函-2'!R5</f>
        <v>1850</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3" sqref="G23"/>
    </sheetView>
  </sheetViews>
  <sheetFormatPr defaultColWidth="10" defaultRowHeight="14.25"/>
  <cols>
    <col min="1" max="1" width="15.375" style="1689" customWidth="1"/>
    <col min="2" max="2" width="11.375" style="1689" customWidth="1"/>
    <col min="3" max="3" width="12.625" style="1689" customWidth="1"/>
    <col min="4" max="4" width="13.1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6" t="str">
        <f>IF(B10="北京市","北京市",C10)&amp;F10&amp;B16&amp;"国有建设用地使用权"&amp;B9&amp;"预评估"</f>
        <v>出让国有建设用地使用权抵押价格预评估</v>
      </c>
      <c r="C1" s="3237"/>
      <c r="D1" s="3237"/>
      <c r="E1" s="3237"/>
      <c r="F1" s="3237"/>
      <c r="G1" s="3237"/>
      <c r="H1" s="3237"/>
      <c r="I1" s="3238"/>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2"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43"/>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9"/>
      <c r="C12" s="3240"/>
      <c r="D12" s="3241"/>
      <c r="E12" s="1697" t="s">
        <v>2063</v>
      </c>
      <c r="F12" s="3257" t="s">
        <v>2892</v>
      </c>
      <c r="G12" s="3258"/>
      <c r="H12" s="3258"/>
      <c r="I12" s="3259"/>
      <c r="J12" s="1692"/>
      <c r="K12" s="1772"/>
      <c r="L12" s="1721"/>
      <c r="M12" s="1721"/>
      <c r="N12" s="1692"/>
      <c r="O12" s="1693"/>
      <c r="P12" s="1692"/>
      <c r="Q12" s="1692"/>
      <c r="R12" s="1692"/>
      <c r="S12" s="1692"/>
      <c r="T12" s="1692"/>
      <c r="U12" s="1692"/>
    </row>
    <row r="13" spans="1:21">
      <c r="A13" s="1685" t="s">
        <v>2061</v>
      </c>
      <c r="B13" s="3239"/>
      <c r="C13" s="3240"/>
      <c r="D13" s="3241"/>
      <c r="E13" s="1697" t="s">
        <v>2063</v>
      </c>
      <c r="F13" s="3257" t="s">
        <v>2893</v>
      </c>
      <c r="G13" s="3258"/>
      <c r="H13" s="3258"/>
      <c r="I13" s="3259"/>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4"/>
      <c r="E20" s="3255"/>
      <c r="F20" s="3255"/>
      <c r="G20" s="3255"/>
      <c r="H20" s="3255"/>
      <c r="I20" s="3256"/>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44" t="s">
        <v>2000</v>
      </c>
      <c r="F21" s="3245"/>
      <c r="G21" s="3245"/>
      <c r="H21" s="3245"/>
      <c r="I21" s="3246"/>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44" t="s">
        <v>2894</v>
      </c>
      <c r="F22" s="3245"/>
      <c r="G22" s="3245"/>
      <c r="H22" s="3245"/>
      <c r="I22" s="3246"/>
      <c r="J22" s="1692"/>
      <c r="K22" s="1772"/>
      <c r="L22" s="1721"/>
      <c r="M22" s="1721"/>
      <c r="N22" s="1692"/>
      <c r="O22" s="1693"/>
      <c r="P22" s="1692"/>
      <c r="Q22" s="1692"/>
      <c r="R22" s="1692"/>
      <c r="S22" s="1692"/>
      <c r="T22" s="1692"/>
      <c r="U22" s="1692"/>
    </row>
    <row r="23" spans="1:21" ht="29.2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7" t="s">
        <v>1968</v>
      </c>
      <c r="C24" s="3248"/>
      <c r="D24" s="3249" t="s">
        <v>1969</v>
      </c>
      <c r="E24" s="3250"/>
      <c r="F24" s="1706" t="s">
        <v>1970</v>
      </c>
      <c r="G24" s="1692"/>
      <c r="H24" s="1692"/>
      <c r="I24" s="1705"/>
      <c r="J24" s="1692"/>
      <c r="K24" s="3235"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62" t="s">
        <v>2003</v>
      </c>
      <c r="B31" s="1762" t="s">
        <v>2004</v>
      </c>
      <c r="C31" s="3260" t="s">
        <v>2996</v>
      </c>
      <c r="D31" s="3261"/>
      <c r="E31" s="1692"/>
      <c r="F31" s="1692"/>
      <c r="G31" s="1692"/>
      <c r="H31" s="1692"/>
      <c r="I31" s="1705"/>
      <c r="J31" s="1692"/>
      <c r="K31" s="2457"/>
      <c r="L31" s="1692"/>
      <c r="M31" s="1692"/>
      <c r="N31" s="1692"/>
      <c r="O31" s="1692"/>
      <c r="P31" s="1692"/>
      <c r="Q31" s="1692"/>
      <c r="R31" s="1692"/>
      <c r="S31" s="1692"/>
      <c r="T31" s="1692"/>
      <c r="U31" s="1692"/>
    </row>
    <row r="32" spans="1:21">
      <c r="A32" s="3262"/>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2"/>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3"/>
      <c r="B34" s="1659" t="s">
        <v>2007</v>
      </c>
      <c r="C34" s="3264"/>
      <c r="D34" s="3265"/>
      <c r="E34" s="1692"/>
      <c r="F34" s="1692"/>
      <c r="G34" s="1692"/>
      <c r="H34" s="1692"/>
      <c r="I34" s="1705"/>
      <c r="J34" s="1692"/>
      <c r="K34" s="2457"/>
      <c r="L34" s="1692"/>
      <c r="M34" s="1692"/>
      <c r="N34" s="1692"/>
      <c r="O34" s="1692"/>
      <c r="P34" s="1692"/>
      <c r="Q34" s="1692"/>
      <c r="R34" s="1692"/>
      <c r="S34" s="1692"/>
      <c r="T34" s="1692"/>
      <c r="U34" s="1692"/>
    </row>
    <row r="35" spans="1:21">
      <c r="A35" s="3266" t="s">
        <v>846</v>
      </c>
      <c r="B35" s="1720"/>
      <c r="C35" s="1774" t="str">
        <f>IF(B35="场地平整","——","具体情况：")</f>
        <v>具体情况：</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2056</v>
      </c>
      <c r="C36" s="3272"/>
      <c r="D36" s="1790"/>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28.5">
      <c r="A37" s="3262"/>
      <c r="B37" s="3251"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52"/>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63"/>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4" t="s">
        <v>1987</v>
      </c>
      <c r="T40" s="1729" t="str">
        <f>NUMBERSTRING(7-K40,1)&amp;"通"</f>
        <v>七通</v>
      </c>
      <c r="U40" s="1692"/>
    </row>
    <row r="41" spans="1:21">
      <c r="A41" s="1661"/>
      <c r="B41" s="3267" t="s">
        <v>1721</v>
      </c>
      <c r="C41" s="3267"/>
      <c r="D41" s="3267"/>
      <c r="E41" s="3267"/>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4"/>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I13" sqref="I13: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2998</v>
      </c>
      <c r="J11" s="71"/>
      <c r="K11" s="3019" t="s">
        <v>3152</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3165</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3167</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6" t="s">
        <v>203</v>
      </c>
      <c r="B2" s="3286"/>
      <c r="C2" s="3286"/>
      <c r="D2" s="1974" t="s">
        <v>204</v>
      </c>
      <c r="E2" s="106" t="s">
        <v>205</v>
      </c>
      <c r="F2" s="1983"/>
      <c r="G2" s="1197"/>
      <c r="H2" s="1198"/>
      <c r="I2" s="1199" t="s">
        <v>856</v>
      </c>
      <c r="J2" s="1983"/>
      <c r="K2" s="1983"/>
      <c r="L2" s="1983"/>
    </row>
    <row r="3" spans="1:16" ht="15.75" thickBot="1">
      <c r="A3" s="3287" t="s">
        <v>206</v>
      </c>
      <c r="B3" s="3287"/>
      <c r="C3" s="3287"/>
      <c r="D3" s="107">
        <f>'数据-基础表'!AY6</f>
        <v>6614</v>
      </c>
      <c r="E3" s="107">
        <f>'数据-基础表'!AZ5</f>
        <v>7937</v>
      </c>
      <c r="F3" s="1983"/>
      <c r="G3" s="280" t="s">
        <v>857</v>
      </c>
      <c r="H3" s="275" t="s">
        <v>858</v>
      </c>
      <c r="I3" s="1975">
        <f>ROUND('数据-基础表'!B3/'数据-基础表'!A3,2)</f>
        <v>1.2</v>
      </c>
      <c r="J3" s="1983"/>
      <c r="K3" s="1983"/>
      <c r="L3" s="1983"/>
    </row>
    <row r="4" spans="1:16" ht="15">
      <c r="A4" s="3288"/>
      <c r="B4" s="3289"/>
      <c r="C4" s="3290"/>
      <c r="D4" s="108" t="s">
        <v>204</v>
      </c>
      <c r="E4" s="109" t="s">
        <v>205</v>
      </c>
      <c r="F4" s="1983"/>
      <c r="G4" s="1200"/>
      <c r="H4" s="275" t="s">
        <v>859</v>
      </c>
      <c r="I4" s="1975">
        <f>ROUND(SUMIF('数据-基础表'!I9:AS9,"地上",'数据-基础表'!I5:AS5)/'数据-基础表'!A3,2)</f>
        <v>1.2</v>
      </c>
      <c r="J4" s="1983"/>
      <c r="K4" s="1983"/>
      <c r="L4" s="1983"/>
    </row>
    <row r="5" spans="1:16">
      <c r="A5" s="110" t="s">
        <v>207</v>
      </c>
      <c r="B5" s="3291" t="s">
        <v>230</v>
      </c>
      <c r="C5" s="3291"/>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91" t="s">
        <v>208</v>
      </c>
      <c r="C6" s="3291"/>
      <c r="D6" s="111">
        <f>ROUND($D$3*E6/$E$3,2)</f>
        <v>661.65</v>
      </c>
      <c r="E6" s="112">
        <f>E3-E5</f>
        <v>794</v>
      </c>
      <c r="F6" s="1983"/>
      <c r="G6" s="1200"/>
      <c r="H6" s="275" t="s">
        <v>859</v>
      </c>
      <c r="I6" s="1975">
        <f>ROUND(F31/D31,2)</f>
        <v>1.2</v>
      </c>
      <c r="J6" s="1983"/>
      <c r="K6" s="1983"/>
      <c r="L6" s="1983"/>
    </row>
    <row r="7" spans="1:16" ht="15">
      <c r="A7" s="3283"/>
      <c r="B7" s="3284"/>
      <c r="C7" s="3285"/>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6614</v>
      </c>
      <c r="E16" s="120">
        <f>SUM(E8:E15)</f>
        <v>7937</v>
      </c>
      <c r="F16" s="1983"/>
      <c r="G16" s="1985"/>
      <c r="H16" s="968" t="s">
        <v>219</v>
      </c>
      <c r="I16" s="969"/>
      <c r="J16" s="1983"/>
      <c r="K16" s="3277" t="s">
        <v>2568</v>
      </c>
      <c r="L16" s="3278"/>
      <c r="M16" s="3278"/>
      <c r="N16" s="3278"/>
      <c r="O16" s="3278"/>
      <c r="P16" s="3279"/>
    </row>
    <row r="17" spans="1:19" ht="15">
      <c r="A17" s="121" t="s">
        <v>216</v>
      </c>
      <c r="B17" s="122" t="s">
        <v>217</v>
      </c>
      <c r="C17" s="2297" t="s">
        <v>2315</v>
      </c>
      <c r="D17" s="108" t="s">
        <v>204</v>
      </c>
      <c r="E17" s="124" t="s">
        <v>205</v>
      </c>
      <c r="F17" s="125"/>
      <c r="G17" s="1365"/>
      <c r="H17" s="970" t="s">
        <v>218</v>
      </c>
      <c r="I17" s="971" t="s">
        <v>2314</v>
      </c>
      <c r="J17" s="1983"/>
      <c r="K17" s="3280" t="s">
        <v>2569</v>
      </c>
      <c r="L17" s="3281"/>
      <c r="M17" s="3282"/>
      <c r="N17" s="3280" t="s">
        <v>2570</v>
      </c>
      <c r="O17" s="3281"/>
      <c r="P17" s="3282"/>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30" sqref="A30:XFD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v>1</v>
      </c>
      <c r="AE6" s="972" t="e">
        <f ca="1">IF(AN6="",0,SUMIF(INDIRECT("'"&amp;AN6&amp;"'"&amp;"!E:E"),$AE$5,INDIRECT("'"&amp;AN6&amp;"'"&amp;"!F:F")))</f>
        <v>#REF!</v>
      </c>
      <c r="AF6" s="141"/>
      <c r="AG6" s="1212">
        <f>IF(AF6="",0,AE6-AF6)</f>
        <v>0</v>
      </c>
      <c r="AH6" s="141"/>
      <c r="AI6" s="187">
        <v>365</v>
      </c>
      <c r="AJ6" s="188"/>
      <c r="AK6" s="189">
        <v>0.02</v>
      </c>
      <c r="AL6" s="190">
        <v>2E-3</v>
      </c>
      <c r="AM6" s="3039">
        <v>0.02</v>
      </c>
      <c r="AN6" s="2391" t="s">
        <v>3153</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1.7</v>
      </c>
      <c r="V7" s="181">
        <v>0.03</v>
      </c>
      <c r="W7" s="181">
        <v>0.15</v>
      </c>
      <c r="X7" s="2320"/>
      <c r="Y7" s="182">
        <v>1</v>
      </c>
      <c r="Z7" s="183"/>
      <c r="AA7" s="176"/>
      <c r="AB7" s="176"/>
      <c r="AC7" s="2323"/>
      <c r="AD7" s="184">
        <v>1</v>
      </c>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3149</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f>(Q6*K6+Q7*K7)/K16</f>
        <v>0.23999622023434547</v>
      </c>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v>3</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1663</v>
      </c>
      <c r="B1" s="3293"/>
      <c r="C1" s="3293"/>
      <c r="D1" s="3293"/>
      <c r="E1" s="3293"/>
      <c r="F1" s="3293"/>
      <c r="G1" s="3293"/>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7" sqref="D27"/>
    </sheetView>
  </sheetViews>
  <sheetFormatPr defaultColWidth="14.625" defaultRowHeight="13.5"/>
  <cols>
    <col min="1" max="1" width="24.375" customWidth="1"/>
  </cols>
  <sheetData>
    <row r="1" spans="1:9" ht="16.5">
      <c r="A1" s="3045" t="s">
        <v>2846</v>
      </c>
      <c r="B1" s="3045">
        <f>SUM(B14:B23)</f>
        <v>89392</v>
      </c>
      <c r="C1" s="3046"/>
      <c r="D1" s="3046"/>
      <c r="E1" s="3046"/>
      <c r="F1" s="3046"/>
    </row>
    <row r="2" spans="1:9" ht="16.5">
      <c r="A2" s="3045" t="s">
        <v>2847</v>
      </c>
      <c r="B2" s="3045">
        <f>SUM(C14:C23)</f>
        <v>89533</v>
      </c>
      <c r="C2" s="3046"/>
      <c r="D2" s="3046"/>
      <c r="E2" s="3046"/>
      <c r="F2" s="3046"/>
    </row>
    <row r="3" spans="1:9" ht="16.5">
      <c r="A3" s="3045" t="s">
        <v>2848</v>
      </c>
      <c r="B3" s="3047">
        <f>项目基本情况!D3</f>
        <v>43334</v>
      </c>
      <c r="C3" s="3046"/>
      <c r="D3" s="3046"/>
      <c r="E3" s="3046"/>
      <c r="F3" s="3046"/>
    </row>
    <row r="4" spans="1:9" ht="33">
      <c r="A4" s="3045" t="s">
        <v>2849</v>
      </c>
      <c r="B4" s="3045" t="s">
        <v>2850</v>
      </c>
      <c r="C4" s="3045" t="s">
        <v>2851</v>
      </c>
      <c r="D4" s="3045" t="s">
        <v>2852</v>
      </c>
      <c r="E4" s="3046"/>
      <c r="F4" s="3046"/>
    </row>
    <row r="5" spans="1:9" ht="16.5">
      <c r="A5" s="3045" t="s">
        <v>2853</v>
      </c>
      <c r="B5" s="3045">
        <f ca="1">SUM(D14:D23)</f>
        <v>17139</v>
      </c>
      <c r="C5" s="3045">
        <f ca="1">ROUND(B5*10000/$B$1,0)</f>
        <v>1917</v>
      </c>
      <c r="D5" s="3045">
        <f ca="1">ROUND(B5*10000/$B$2,0)</f>
        <v>1914</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7937</v>
      </c>
      <c r="C14" s="3049">
        <f>结果表!K38</f>
        <v>6614</v>
      </c>
      <c r="D14" s="3049">
        <f ca="1">结果表!C42</f>
        <v>1850</v>
      </c>
      <c r="E14" s="3049">
        <f ca="1">ROUND(D14*10000/B14,0)</f>
        <v>2331</v>
      </c>
      <c r="F14" s="3049">
        <f ca="1">ROUND(D14*10000/C14,0)</f>
        <v>2797</v>
      </c>
      <c r="G14" s="3049" t="str">
        <f>结果表!C44</f>
        <v>——</v>
      </c>
      <c r="H14" s="3049" t="str">
        <f>结果表!C45</f>
        <v>——</v>
      </c>
      <c r="I14" s="3049" t="str">
        <f>结果表!C46</f>
        <v>——</v>
      </c>
    </row>
    <row r="15" spans="1:9" ht="16.5">
      <c r="A15" s="3052" t="s">
        <v>2863</v>
      </c>
      <c r="B15" s="3053">
        <f>[1]结果表!$L$38</f>
        <v>14507</v>
      </c>
      <c r="C15" s="3053">
        <f>[1]结果表!$K$38</f>
        <v>18134</v>
      </c>
      <c r="D15" s="3053">
        <f ca="1">[1]结果表!$C$32</f>
        <v>2673</v>
      </c>
      <c r="E15" s="3049">
        <f t="shared" ref="E15:E23" ca="1" si="2">ROUND(D15*10000/B15,0)</f>
        <v>1843</v>
      </c>
      <c r="F15" s="3049">
        <f t="shared" ref="F15:F23" ca="1" si="3">ROUND(D15*10000/C15,0)</f>
        <v>1474</v>
      </c>
      <c r="G15" s="3050"/>
      <c r="H15" s="3050"/>
      <c r="I15" s="3053"/>
    </row>
    <row r="16" spans="1:9" ht="16.5">
      <c r="A16" s="3052" t="s">
        <v>2864</v>
      </c>
      <c r="B16" s="3053">
        <f>[2]结果表!$L$38</f>
        <v>11508</v>
      </c>
      <c r="C16" s="3053">
        <f>[2]结果表!$K$38</f>
        <v>14385</v>
      </c>
      <c r="D16" s="3053">
        <f ca="1">[2]结果表!$C$32</f>
        <v>2102</v>
      </c>
      <c r="E16" s="3049">
        <f t="shared" ca="1" si="2"/>
        <v>1827</v>
      </c>
      <c r="F16" s="3049">
        <f t="shared" ca="1" si="3"/>
        <v>1461</v>
      </c>
      <c r="G16" s="3050"/>
      <c r="H16" s="3050"/>
      <c r="I16" s="3053"/>
    </row>
    <row r="17" spans="1:9" ht="16.5">
      <c r="A17" s="3052" t="s">
        <v>2865</v>
      </c>
      <c r="B17" s="3053">
        <f>[3]结果表!$L$38</f>
        <v>17894</v>
      </c>
      <c r="C17" s="3053">
        <f>[3]结果表!$K$38</f>
        <v>16267</v>
      </c>
      <c r="D17" s="3053">
        <f ca="1">[3]结果表!$C$32</f>
        <v>3441</v>
      </c>
      <c r="E17" s="3049">
        <f t="shared" ca="1" si="2"/>
        <v>1923</v>
      </c>
      <c r="F17" s="3049">
        <f t="shared" ca="1" si="3"/>
        <v>2115</v>
      </c>
      <c r="G17" s="3050"/>
      <c r="H17" s="3050"/>
      <c r="I17" s="3053"/>
    </row>
    <row r="18" spans="1:9" ht="16.5">
      <c r="A18" s="3052" t="s">
        <v>2866</v>
      </c>
      <c r="B18" s="3053">
        <f>[4]结果表!$L$38</f>
        <v>25013</v>
      </c>
      <c r="C18" s="3053">
        <f>[4]结果表!$K$38</f>
        <v>22739</v>
      </c>
      <c r="D18" s="3053">
        <f ca="1">[4]结果表!$C$32</f>
        <v>4681</v>
      </c>
      <c r="E18" s="3049">
        <f t="shared" ca="1" si="2"/>
        <v>1871</v>
      </c>
      <c r="F18" s="3049">
        <f t="shared" ca="1" si="3"/>
        <v>2059</v>
      </c>
      <c r="G18" s="3053"/>
      <c r="H18" s="3053"/>
      <c r="I18" s="3053"/>
    </row>
    <row r="19" spans="1:9" ht="16.5">
      <c r="A19" s="3052" t="s">
        <v>2867</v>
      </c>
      <c r="B19" s="3053">
        <f>[5]结果表!$L$38</f>
        <v>12533</v>
      </c>
      <c r="C19" s="3053">
        <f>[5]结果表!$K$38</f>
        <v>11394</v>
      </c>
      <c r="D19" s="3053">
        <f ca="1">[5]结果表!$C$32</f>
        <v>2392</v>
      </c>
      <c r="E19" s="3049">
        <f t="shared" ca="1" si="2"/>
        <v>1909</v>
      </c>
      <c r="F19" s="3049">
        <f t="shared" ca="1" si="3"/>
        <v>2099</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SheetLayoutView="100" zoomScalePageLayoutView="80" workbookViewId="0">
      <selection activeCell="L38" sqref="L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39" t="str">
        <f>项目基本情况!K2</f>
        <v>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4.25">
      <c r="A3" s="3350" t="s">
        <v>298</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25">
      <c r="A4" s="258" t="s">
        <v>299</v>
      </c>
      <c r="B4" s="259" t="s">
        <v>300</v>
      </c>
      <c r="C4" s="260" t="s">
        <v>3144</v>
      </c>
      <c r="D4" s="260" t="s">
        <v>3143</v>
      </c>
      <c r="E4" s="3314" t="s">
        <v>301</v>
      </c>
      <c r="F4" s="3356"/>
      <c r="G4" s="3356"/>
      <c r="H4" s="3356"/>
      <c r="I4" s="331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3" t="s">
        <v>302</v>
      </c>
      <c r="B5" s="3344">
        <v>25</v>
      </c>
      <c r="C5" s="3352"/>
      <c r="D5" s="3355"/>
      <c r="E5" s="261" t="s">
        <v>303</v>
      </c>
      <c r="F5" s="262"/>
      <c r="G5" s="262"/>
      <c r="H5" s="262"/>
      <c r="I5" s="263"/>
      <c r="J5" s="2029"/>
      <c r="K5" s="2028"/>
      <c r="L5" s="2028"/>
      <c r="M5" s="2028"/>
      <c r="N5" s="2028"/>
      <c r="O5" s="2028"/>
      <c r="P5" s="2028"/>
      <c r="Q5" s="2028"/>
      <c r="R5" s="2028"/>
      <c r="S5" s="2028"/>
      <c r="T5" s="2028"/>
      <c r="U5" s="2028"/>
      <c r="V5" s="2028"/>
    </row>
    <row r="6" spans="1:22" ht="14.25">
      <c r="A6" s="3343"/>
      <c r="B6" s="3344"/>
      <c r="C6" s="3353"/>
      <c r="D6" s="3355"/>
      <c r="E6" s="261" t="s">
        <v>304</v>
      </c>
      <c r="F6" s="262"/>
      <c r="G6" s="262"/>
      <c r="H6" s="262"/>
      <c r="I6" s="263"/>
      <c r="J6" s="2029"/>
      <c r="K6" s="2028"/>
      <c r="L6" s="2028"/>
      <c r="M6" s="2028"/>
      <c r="N6" s="2028"/>
      <c r="O6" s="2028"/>
      <c r="P6" s="2028"/>
      <c r="Q6" s="2028"/>
      <c r="R6" s="2028"/>
      <c r="S6" s="2028"/>
      <c r="T6" s="2028"/>
      <c r="U6" s="2028"/>
      <c r="V6" s="2028"/>
    </row>
    <row r="7" spans="1:22" ht="14.25">
      <c r="A7" s="3343"/>
      <c r="B7" s="3344"/>
      <c r="C7" s="3354"/>
      <c r="D7" s="3355"/>
      <c r="E7" s="261" t="s">
        <v>305</v>
      </c>
      <c r="F7" s="262"/>
      <c r="G7" s="262"/>
      <c r="H7" s="262"/>
      <c r="I7" s="263"/>
      <c r="J7" s="2029"/>
      <c r="K7" s="2028"/>
      <c r="L7" s="2028"/>
      <c r="M7" s="2028"/>
      <c r="N7" s="2028"/>
      <c r="O7" s="2028"/>
      <c r="P7" s="2028"/>
      <c r="Q7" s="2028"/>
      <c r="R7" s="2028"/>
      <c r="S7" s="2028"/>
      <c r="T7" s="2028"/>
      <c r="U7" s="2028"/>
      <c r="V7" s="2028"/>
    </row>
    <row r="8" spans="1:22" ht="14.25">
      <c r="A8" s="3343" t="s">
        <v>306</v>
      </c>
      <c r="B8" s="3344">
        <v>15</v>
      </c>
      <c r="C8" s="3352"/>
      <c r="D8" s="3355"/>
      <c r="E8" s="261" t="s">
        <v>307</v>
      </c>
      <c r="F8" s="262"/>
      <c r="G8" s="262"/>
      <c r="H8" s="262"/>
      <c r="I8" s="263"/>
      <c r="J8" s="2029"/>
      <c r="K8" s="2028"/>
      <c r="L8" s="2028"/>
      <c r="M8" s="2028"/>
      <c r="N8" s="2028"/>
      <c r="O8" s="2028"/>
      <c r="P8" s="2028"/>
      <c r="Q8" s="2028"/>
      <c r="R8" s="2028"/>
      <c r="S8" s="2028"/>
      <c r="T8" s="2028"/>
      <c r="U8" s="2028"/>
      <c r="V8" s="2028"/>
    </row>
    <row r="9" spans="1:22" ht="14.25">
      <c r="A9" s="3343"/>
      <c r="B9" s="3344"/>
      <c r="C9" s="3354"/>
      <c r="D9" s="3355"/>
      <c r="E9" s="261" t="s">
        <v>308</v>
      </c>
      <c r="F9" s="262"/>
      <c r="G9" s="262"/>
      <c r="H9" s="262"/>
      <c r="I9" s="263"/>
      <c r="J9" s="2029"/>
      <c r="K9" s="2028"/>
      <c r="L9" s="2028"/>
      <c r="M9" s="2028"/>
      <c r="N9" s="2028"/>
      <c r="O9" s="2028"/>
      <c r="P9" s="2028"/>
      <c r="Q9" s="2028"/>
      <c r="R9" s="2028"/>
      <c r="S9" s="2028"/>
      <c r="T9" s="2028"/>
      <c r="U9" s="2028"/>
      <c r="V9" s="2028"/>
    </row>
    <row r="10" spans="1:22" ht="14.25">
      <c r="A10" s="3343" t="s">
        <v>309</v>
      </c>
      <c r="B10" s="3344">
        <v>15</v>
      </c>
      <c r="C10" s="3352"/>
      <c r="D10" s="335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3"/>
      <c r="B11" s="3344"/>
      <c r="C11" s="3354"/>
      <c r="D11" s="335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3" t="s">
        <v>312</v>
      </c>
      <c r="B12" s="3344">
        <v>15</v>
      </c>
      <c r="C12" s="3352"/>
      <c r="D12" s="335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3"/>
      <c r="B13" s="3344"/>
      <c r="C13" s="3354"/>
      <c r="D13" s="335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3" t="s">
        <v>315</v>
      </c>
      <c r="B14" s="3344">
        <v>30</v>
      </c>
      <c r="C14" s="3352">
        <v>55</v>
      </c>
      <c r="D14" s="3355">
        <v>45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3"/>
      <c r="B15" s="3344"/>
      <c r="C15" s="3353"/>
      <c r="D15" s="335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3"/>
      <c r="B16" s="3344"/>
      <c r="C16" s="3354"/>
      <c r="D16" s="335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1017</v>
      </c>
      <c r="D19" s="271">
        <f ca="1">SUMIF(INDIRECT("'"&amp;D4&amp;"'"&amp;"!A:A"),结果表!B19,INDIRECT("'"&amp;D4&amp;"'"&amp;"!B:B"))</f>
        <v>4043</v>
      </c>
      <c r="E19" s="268" t="s">
        <v>323</v>
      </c>
      <c r="F19" s="269" t="s">
        <v>322</v>
      </c>
      <c r="G19" s="272">
        <f ca="1">ROUND(C19*$C$18+D19*$D$18,0)</f>
        <v>2379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1281</v>
      </c>
      <c r="D20" s="277">
        <f ca="1">SUMIF(INDIRECT("'"&amp;D4&amp;"'"&amp;"!A:A"),结果表!B20,INDIRECT("'"&amp;D4&amp;"'"&amp;"!B:B"))</f>
        <v>5094</v>
      </c>
      <c r="E20" s="274"/>
      <c r="F20" s="275" t="s">
        <v>325</v>
      </c>
      <c r="G20" s="278">
        <f ca="1">ROUND(C20*$C$18+D20*$D$18,0)</f>
        <v>2997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1538</v>
      </c>
      <c r="D21" s="151">
        <f ca="1">SUMIF(INDIRECT("'"&amp;D4&amp;"'"&amp;"!A:A"),结果表!B21,INDIRECT("'"&amp;D4&amp;"'"&amp;"!B:B"))</f>
        <v>6113</v>
      </c>
      <c r="E21" s="274"/>
      <c r="F21" s="280" t="s">
        <v>327</v>
      </c>
      <c r="G21" s="282">
        <f ca="1">ROUND(C21*$C$18+D21*$D$18,0)</f>
        <v>3597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2.9754178957718782</v>
      </c>
      <c r="E22" s="284"/>
      <c r="F22" s="285"/>
      <c r="G22" s="286">
        <f ca="1">ROUND(G19/('数据-汇总表'!D3/666.67),0)</f>
        <v>240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6"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8"/>
      <c r="B25" s="1320" t="s">
        <v>3169</v>
      </c>
      <c r="C25" s="290">
        <f>IF(B30=0,0,C30)</f>
        <v>0</v>
      </c>
      <c r="D25" s="291"/>
      <c r="E25" s="311"/>
      <c r="F25" s="311"/>
      <c r="G25" s="311"/>
      <c r="H25" s="311"/>
      <c r="I25" s="311"/>
      <c r="J25" s="2028"/>
      <c r="K25" s="1254" t="str">
        <f ca="1">项目基本情况!B16&amp;"国有建设用地使用权价格："&amp;O38&amp;"万元"</f>
        <v>出让国有建设用地使用权价格：1850万元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大写金额：人民币壹仟捌佰伍拾万元整</v>
      </c>
      <c r="L26" s="1251"/>
      <c r="M26" s="1251"/>
      <c r="N26" s="1251"/>
      <c r="O26" s="1250"/>
      <c r="P26" s="2028"/>
      <c r="Q26" s="2028"/>
      <c r="R26" s="2028"/>
      <c r="S26" s="2028"/>
      <c r="T26" s="2028"/>
      <c r="U26" s="2028"/>
      <c r="V26" s="2028"/>
      <c r="W26" s="292"/>
      <c r="X26" s="292"/>
      <c r="Y26" s="292"/>
      <c r="Z26" s="292"/>
    </row>
    <row r="27" spans="1:26" ht="18">
      <c r="A27" s="293"/>
      <c r="B27" s="294">
        <f>'数据-基础表'!A3</f>
        <v>6614</v>
      </c>
      <c r="C27" s="294">
        <v>800</v>
      </c>
      <c r="D27" s="295">
        <f>ROUND(B27*C27/10000,0)</f>
        <v>529</v>
      </c>
      <c r="E27" s="311"/>
      <c r="F27" s="311"/>
      <c r="G27" s="311"/>
      <c r="H27" s="311"/>
      <c r="I27" s="311"/>
      <c r="J27" s="2028"/>
      <c r="K27" s="1257" t="str">
        <f ca="1">"单位面积地价："&amp;M38&amp;"元/平方米"</f>
        <v>单位面积地价：2797元/平方米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楼面地价：2331元/平方米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1850</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2331</v>
      </c>
      <c r="D33" s="1384" t="s">
        <v>1691</v>
      </c>
      <c r="E33" s="3316"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2797</v>
      </c>
      <c r="D34" s="1386" t="s">
        <v>1691</v>
      </c>
      <c r="E34" s="3317"/>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186</v>
      </c>
      <c r="D35" s="1389" t="s">
        <v>1693</v>
      </c>
      <c r="E35" s="3318"/>
      <c r="F35" s="301" t="s">
        <v>341</v>
      </c>
      <c r="G35" s="981"/>
      <c r="H35" s="980" t="s">
        <v>342</v>
      </c>
      <c r="I35" s="311"/>
      <c r="J35" s="2028"/>
      <c r="K35" s="3322" t="s">
        <v>349</v>
      </c>
      <c r="L35" s="3322" t="s">
        <v>350</v>
      </c>
      <c r="M35" s="1263" t="s">
        <v>351</v>
      </c>
      <c r="N35" s="3322" t="s">
        <v>352</v>
      </c>
      <c r="O35" s="3322" t="s">
        <v>353</v>
      </c>
      <c r="P35" s="2028"/>
      <c r="V35" s="2028"/>
    </row>
    <row r="36" spans="1:26" ht="16.5" customHeight="1">
      <c r="A36" s="303" t="s">
        <v>343</v>
      </c>
      <c r="B36" s="304" t="s">
        <v>332</v>
      </c>
      <c r="C36" s="305" t="s">
        <v>344</v>
      </c>
      <c r="D36" s="305" t="s">
        <v>345</v>
      </c>
      <c r="E36" s="306" t="s">
        <v>346</v>
      </c>
      <c r="F36" s="311"/>
      <c r="G36" s="311"/>
      <c r="H36" s="311"/>
      <c r="I36" s="311"/>
      <c r="J36" s="2030"/>
      <c r="K36" s="3323"/>
      <c r="L36" s="3323"/>
      <c r="M36" s="1265" t="s">
        <v>354</v>
      </c>
      <c r="N36" s="3323"/>
      <c r="O36" s="3323"/>
      <c r="P36" s="2028"/>
      <c r="V36" s="2028"/>
    </row>
    <row r="37" spans="1:26" ht="16.5" customHeight="1" thickBot="1">
      <c r="A37" s="1259" t="s">
        <v>347</v>
      </c>
      <c r="B37" s="307"/>
      <c r="C37" s="294"/>
      <c r="D37" s="294"/>
      <c r="E37" s="295"/>
      <c r="F37" s="311"/>
      <c r="G37" s="311"/>
      <c r="H37" s="311"/>
      <c r="I37" s="311"/>
      <c r="J37" s="2030"/>
      <c r="K37" s="3324"/>
      <c r="L37" s="3324"/>
      <c r="M37" s="1266"/>
      <c r="N37" s="3324"/>
      <c r="O37" s="3324"/>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2797</v>
      </c>
      <c r="N38" s="1268">
        <f ca="1">C33</f>
        <v>2331</v>
      </c>
      <c r="O38" s="1269">
        <f ca="1">C32</f>
        <v>1850</v>
      </c>
      <c r="P38" s="2028"/>
      <c r="V38" s="2028"/>
    </row>
    <row r="39" spans="1:26" ht="16.5" customHeight="1" thickBot="1">
      <c r="A39" s="1264"/>
      <c r="B39" s="308"/>
      <c r="C39" s="309"/>
      <c r="D39" s="309"/>
      <c r="E39" s="310"/>
      <c r="F39" s="311"/>
      <c r="G39" s="311"/>
      <c r="H39" s="311"/>
      <c r="I39" s="311"/>
      <c r="J39" s="2030"/>
      <c r="K39" s="3299" t="str">
        <f>MID(A44,3,LEN(A44)-2)</f>
        <v/>
      </c>
      <c r="L39" s="3300"/>
      <c r="M39" s="3300"/>
      <c r="N39" s="3301"/>
      <c r="O39" s="1391" t="str">
        <f>C44</f>
        <v>——</v>
      </c>
      <c r="P39" s="2028"/>
      <c r="V39" s="2028"/>
    </row>
    <row r="40" spans="1:26" ht="19.5" thickBot="1">
      <c r="A40" s="104" t="s">
        <v>872</v>
      </c>
      <c r="B40" s="311"/>
      <c r="C40" s="311"/>
      <c r="D40" s="311"/>
      <c r="E40" s="311"/>
      <c r="F40" s="311"/>
      <c r="G40" s="311"/>
      <c r="H40" s="311"/>
      <c r="I40" s="311"/>
      <c r="J40" s="2030"/>
      <c r="K40" s="3299" t="str">
        <f t="shared" ref="K40:K41" si="0">MID(A45,3,LEN(A45)-2)</f>
        <v/>
      </c>
      <c r="L40" s="3300"/>
      <c r="M40" s="3300"/>
      <c r="N40" s="3301"/>
      <c r="O40" s="1391" t="str">
        <f>C45</f>
        <v>——</v>
      </c>
      <c r="P40" s="2028"/>
      <c r="V40" s="2028"/>
    </row>
    <row r="41" spans="1:26" ht="16.5" thickBot="1">
      <c r="A41" s="312" t="s">
        <v>355</v>
      </c>
      <c r="B41" s="313"/>
      <c r="C41" s="314" t="s">
        <v>356</v>
      </c>
      <c r="D41" s="315" t="s">
        <v>357</v>
      </c>
      <c r="E41" s="315" t="s">
        <v>358</v>
      </c>
      <c r="F41" s="316" t="s">
        <v>359</v>
      </c>
      <c r="G41" s="311"/>
      <c r="H41" s="311"/>
      <c r="I41" s="311"/>
      <c r="J41" s="2030"/>
      <c r="K41" s="3299" t="str">
        <f t="shared" si="0"/>
        <v/>
      </c>
      <c r="L41" s="3300"/>
      <c r="M41" s="3300"/>
      <c r="N41" s="3301"/>
      <c r="O41" s="1391" t="str">
        <f>C46</f>
        <v>——</v>
      </c>
      <c r="P41" s="2028"/>
      <c r="V41" s="2028"/>
    </row>
    <row r="42" spans="1:26" ht="29.25">
      <c r="A42" s="3359" t="s">
        <v>2069</v>
      </c>
      <c r="B42" s="3360"/>
      <c r="C42" s="264">
        <f ca="1">C32</f>
        <v>1850</v>
      </c>
      <c r="D42" s="317">
        <f ca="1">C33</f>
        <v>2331</v>
      </c>
      <c r="E42" s="317">
        <f ca="1">C34</f>
        <v>2797</v>
      </c>
      <c r="F42" s="318">
        <f ca="1">C35</f>
        <v>186</v>
      </c>
      <c r="G42" s="311"/>
      <c r="H42" s="311"/>
      <c r="I42" s="319"/>
      <c r="J42" s="2030"/>
      <c r="K42" s="1270" t="s">
        <v>360</v>
      </c>
      <c r="L42" s="2047" t="s">
        <v>361</v>
      </c>
      <c r="M42" s="1271" t="s">
        <v>362</v>
      </c>
      <c r="N42" s="2048" t="s">
        <v>363</v>
      </c>
      <c r="O42" s="2049" t="s">
        <v>364</v>
      </c>
      <c r="P42" s="2028"/>
      <c r="V42" s="2028"/>
    </row>
    <row r="43" spans="1:26" ht="30">
      <c r="A43" s="3369" t="s">
        <v>2732</v>
      </c>
      <c r="B43" s="3370"/>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1017</v>
      </c>
      <c r="M43" s="1274">
        <f>C18</f>
        <v>0.55000000000000004</v>
      </c>
      <c r="N43" s="1275">
        <f ca="1">IF(N42="测算结果/万元",G19,G20)</f>
        <v>2379</v>
      </c>
      <c r="O43" s="1276">
        <f ca="1">IF(O42="最终结果/万元",C32,C33)</f>
        <v>1850</v>
      </c>
      <c r="P43" s="2028"/>
      <c r="V43" s="2028"/>
    </row>
    <row r="44" spans="1:26" ht="30.75" thickBot="1">
      <c r="A44" s="3359" t="str">
        <f>IF(OR(项目基本情况!E8="抵押价格",项目基本情况!E8="已注销及未注销"),"3.抵押价格","——")</f>
        <v>——</v>
      </c>
      <c r="B44" s="3360"/>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4043</v>
      </c>
      <c r="M44" s="1279">
        <f>D18</f>
        <v>0.44999999999999996</v>
      </c>
      <c r="N44" s="1280"/>
      <c r="O44" s="1281"/>
      <c r="P44" s="2028"/>
      <c r="V44" s="2028"/>
    </row>
    <row r="45" spans="1:26" ht="15">
      <c r="A45" s="3364" t="str">
        <f>IF(项目基本情况!E8="已注销及未注销","4.抵押担保权已注销时的抵押价格",IF(项目基本情况!E8="已注销","3.抵押担保权已注销时的抵押价格","——"))</f>
        <v>——</v>
      </c>
      <c r="B45" s="336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7" t="s">
        <v>373</v>
      </c>
      <c r="B63" s="3328"/>
      <c r="C63" s="3329"/>
      <c r="D63" s="341">
        <f ca="1">ROUND(C42*F63,0)</f>
        <v>1110</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66" t="s">
        <v>377</v>
      </c>
      <c r="B64" s="3367"/>
      <c r="C64" s="3367"/>
      <c r="D64" s="3367"/>
      <c r="E64" s="3367"/>
      <c r="F64" s="3367"/>
      <c r="G64" s="3368"/>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63" t="s">
        <v>385</v>
      </c>
      <c r="B66" s="3334"/>
      <c r="C66" s="3334"/>
      <c r="D66" s="261">
        <f ca="1">IF(H66="情况1",0,IF(H66="情况2",D70,IF(H66="情况3",D71,IF(H66="情况4",D72))))</f>
        <v>58</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303" t="s">
        <v>384</v>
      </c>
      <c r="M66" s="3304"/>
      <c r="N66" s="2458"/>
      <c r="O66" s="2459"/>
      <c r="P66" s="2460"/>
      <c r="Q66" s="2028"/>
      <c r="R66" s="2028"/>
      <c r="S66" s="2028"/>
      <c r="T66" s="2028"/>
      <c r="U66" s="2028"/>
      <c r="V66" s="2028"/>
    </row>
    <row r="67" spans="1:22" ht="25.5" customHeight="1">
      <c r="A67" s="352" t="s">
        <v>389</v>
      </c>
      <c r="B67" s="3346" t="s">
        <v>390</v>
      </c>
      <c r="C67" s="3346"/>
      <c r="D67" s="353">
        <v>0</v>
      </c>
      <c r="E67" s="41" t="s">
        <v>391</v>
      </c>
      <c r="F67" s="62" t="s">
        <v>21</v>
      </c>
      <c r="G67" s="3330"/>
      <c r="H67" s="311"/>
      <c r="I67" s="1291"/>
      <c r="J67" s="2035"/>
      <c r="K67" s="1976">
        <v>2</v>
      </c>
      <c r="L67" s="3302" t="s">
        <v>388</v>
      </c>
      <c r="M67" s="3302"/>
      <c r="N67" s="1324">
        <f>'数据-取费表'!B2</f>
        <v>43334</v>
      </c>
      <c r="O67" s="1324"/>
      <c r="P67" s="1324"/>
      <c r="Q67" s="2028"/>
      <c r="R67" s="2028"/>
      <c r="S67" s="2028"/>
      <c r="T67" s="2028"/>
      <c r="U67" s="2028"/>
      <c r="V67" s="2028"/>
    </row>
    <row r="68" spans="1:22" ht="25.5" customHeight="1">
      <c r="A68" s="354"/>
      <c r="B68" s="3346" t="s">
        <v>393</v>
      </c>
      <c r="C68" s="3346"/>
      <c r="D68" s="355"/>
      <c r="E68" s="77"/>
      <c r="F68" s="356"/>
      <c r="G68" s="3331"/>
      <c r="H68" s="311"/>
      <c r="I68" s="1291"/>
      <c r="J68" s="2035"/>
      <c r="K68" s="1976">
        <v>3</v>
      </c>
      <c r="L68" s="3302" t="s">
        <v>392</v>
      </c>
      <c r="M68" s="3302"/>
      <c r="N68" s="1292">
        <f ca="1">C42</f>
        <v>1850</v>
      </c>
      <c r="O68" s="1292"/>
      <c r="P68" s="1292"/>
      <c r="Q68" s="2028"/>
      <c r="R68" s="2028"/>
      <c r="S68" s="2028"/>
      <c r="T68" s="2028"/>
      <c r="U68" s="2028"/>
      <c r="V68" s="2028"/>
    </row>
    <row r="69" spans="1:22" ht="12" customHeight="1">
      <c r="A69" s="357"/>
      <c r="B69" s="3346" t="s">
        <v>394</v>
      </c>
      <c r="C69" s="3346"/>
      <c r="D69" s="358"/>
      <c r="E69" s="73"/>
      <c r="F69" s="356"/>
      <c r="G69" s="3332"/>
      <c r="H69" s="311"/>
      <c r="I69" s="1291"/>
      <c r="J69" s="2035"/>
      <c r="K69" s="1293">
        <v>4</v>
      </c>
      <c r="L69" s="3308" t="s">
        <v>2885</v>
      </c>
      <c r="M69" s="3309"/>
      <c r="N69" s="1294" t="str">
        <f>C44</f>
        <v>——</v>
      </c>
      <c r="O69" s="1294"/>
      <c r="P69" s="1294"/>
      <c r="Q69" s="2028"/>
      <c r="R69" s="2028"/>
      <c r="S69" s="2028"/>
      <c r="T69" s="2028"/>
      <c r="U69" s="2028"/>
      <c r="V69" s="2028"/>
    </row>
    <row r="70" spans="1:22" ht="24" customHeight="1">
      <c r="A70" s="359" t="s">
        <v>395</v>
      </c>
      <c r="B70" s="3346" t="s">
        <v>396</v>
      </c>
      <c r="C70" s="3346"/>
      <c r="D70" s="358">
        <f ca="1">ROUND(D63*'数据-取费表'!B41/(1+'数据-取费表'!C42),0)</f>
        <v>58</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45" t="s">
        <v>404</v>
      </c>
      <c r="C71" s="3357"/>
      <c r="D71" s="358">
        <f ca="1">ROUND(D63*'数据-取费表'!B41/(1+'数据-取费表'!C42),0)</f>
        <v>58</v>
      </c>
      <c r="E71" s="17" t="s">
        <v>397</v>
      </c>
      <c r="F71" s="360">
        <f>'数据-取费表'!B41</f>
        <v>5.5000000000000007E-2</v>
      </c>
      <c r="G71" s="361"/>
      <c r="H71" s="311"/>
      <c r="I71" s="1291"/>
      <c r="J71" s="2035"/>
      <c r="K71" s="3061" t="s">
        <v>398</v>
      </c>
      <c r="L71" s="3310" t="s">
        <v>399</v>
      </c>
      <c r="M71" s="3310"/>
      <c r="N71" s="3061" t="s">
        <v>400</v>
      </c>
      <c r="O71" s="3061" t="s">
        <v>401</v>
      </c>
      <c r="P71" s="3061" t="s">
        <v>402</v>
      </c>
      <c r="Q71" s="2028"/>
      <c r="R71" s="2028"/>
      <c r="S71" s="2028"/>
      <c r="T71" s="2028"/>
      <c r="U71" s="2028"/>
      <c r="V71" s="2028"/>
    </row>
    <row r="72" spans="1:22" ht="12" customHeight="1">
      <c r="A72" s="359" t="s">
        <v>406</v>
      </c>
      <c r="B72" s="3345" t="s">
        <v>407</v>
      </c>
      <c r="C72" s="3357"/>
      <c r="D72" s="358">
        <f ca="1">C86</f>
        <v>0</v>
      </c>
      <c r="E72" s="73" t="s">
        <v>408</v>
      </c>
      <c r="F72" s="360">
        <f>'数据-取费表'!B41</f>
        <v>5.5000000000000007E-2</v>
      </c>
      <c r="G72" s="361"/>
      <c r="H72" s="1297"/>
      <c r="I72" s="1291"/>
      <c r="J72" s="2035"/>
      <c r="K72" s="1976">
        <v>1</v>
      </c>
      <c r="L72" s="3307" t="s">
        <v>405</v>
      </c>
      <c r="M72" s="3307"/>
      <c r="N72" s="1295">
        <f ca="1">D66</f>
        <v>58</v>
      </c>
      <c r="O72" s="1859" t="str">
        <f>E66</f>
        <v>销售额×税（费）率</v>
      </c>
      <c r="P72" s="1296">
        <f>F66</f>
        <v>5.5000000000000007E-2</v>
      </c>
      <c r="Q72" s="2028"/>
      <c r="R72" s="2028"/>
      <c r="S72" s="2028"/>
      <c r="T72" s="2028"/>
      <c r="U72" s="2028"/>
      <c r="V72" s="2028"/>
    </row>
    <row r="73" spans="1:22" ht="24" customHeight="1">
      <c r="A73" s="3333" t="s">
        <v>410</v>
      </c>
      <c r="B73" s="3334"/>
      <c r="C73" s="3334"/>
      <c r="D73" s="362">
        <f>IF(H73="个人住宅",0,ROUND(D63*I73,0))</f>
        <v>0</v>
      </c>
      <c r="E73" s="17" t="s">
        <v>411</v>
      </c>
      <c r="F73" s="360" t="str">
        <f>IF(H73="正常",I73,"免征")</f>
        <v>免征</v>
      </c>
      <c r="G73" s="361"/>
      <c r="H73" s="191" t="s">
        <v>2457</v>
      </c>
      <c r="I73" s="360">
        <f>'数据-取费表'!B49</f>
        <v>5.0000000000000001E-4</v>
      </c>
      <c r="J73" s="2035"/>
      <c r="K73" s="1976">
        <v>2</v>
      </c>
      <c r="L73" s="3307" t="s">
        <v>409</v>
      </c>
      <c r="M73" s="3307"/>
      <c r="N73" s="1295">
        <f t="shared" ref="N73:P74" si="1">D73</f>
        <v>0</v>
      </c>
      <c r="O73" s="1859" t="str">
        <f t="shared" si="1"/>
        <v>销售额×税（费）率</v>
      </c>
      <c r="P73" s="1296" t="str">
        <f t="shared" si="1"/>
        <v>免征</v>
      </c>
      <c r="Q73" s="2028"/>
      <c r="R73" s="2028"/>
      <c r="S73" s="2028"/>
      <c r="T73" s="2028"/>
      <c r="U73" s="2028"/>
      <c r="V73" s="2028"/>
    </row>
    <row r="74" spans="1:22" ht="24.75">
      <c r="A74" s="3333" t="s">
        <v>414</v>
      </c>
      <c r="B74" s="3334"/>
      <c r="C74" s="3334"/>
      <c r="D74" s="362">
        <f ca="1">IF(H74="个人住宅",D75,D76)</f>
        <v>110</v>
      </c>
      <c r="E74" s="17" t="s">
        <v>415</v>
      </c>
      <c r="F74" s="360" t="str">
        <f>IF(H74="正常",F76,"免征")</f>
        <v>——</v>
      </c>
      <c r="G74" s="982" t="s">
        <v>416</v>
      </c>
      <c r="H74" s="363" t="s">
        <v>412</v>
      </c>
      <c r="I74" s="42"/>
      <c r="J74" s="2035"/>
      <c r="K74" s="1976">
        <v>3</v>
      </c>
      <c r="L74" s="3307" t="s">
        <v>413</v>
      </c>
      <c r="M74" s="3307"/>
      <c r="N74" s="1295">
        <f t="shared" ca="1" si="1"/>
        <v>110</v>
      </c>
      <c r="O74" s="1859" t="str">
        <f t="shared" si="1"/>
        <v>增值额×税（费）率</v>
      </c>
      <c r="P74" s="1298" t="str">
        <f t="shared" si="1"/>
        <v>——</v>
      </c>
      <c r="Q74" s="2028"/>
      <c r="R74" s="2028"/>
      <c r="S74" s="2028"/>
      <c r="T74" s="2028"/>
      <c r="U74" s="2028"/>
      <c r="V74" s="2028"/>
    </row>
    <row r="75" spans="1:22" ht="24">
      <c r="A75" s="359" t="s">
        <v>417</v>
      </c>
      <c r="B75" s="3314" t="s">
        <v>418</v>
      </c>
      <c r="C75" s="3315"/>
      <c r="D75" s="364">
        <v>0</v>
      </c>
      <c r="E75" s="41" t="s">
        <v>419</v>
      </c>
      <c r="F75" s="365"/>
      <c r="G75" s="361"/>
      <c r="H75" s="42"/>
      <c r="I75" s="42"/>
      <c r="J75" s="2035"/>
      <c r="K75" s="3054">
        <f>IF(H77="非个人房产","",4)</f>
        <v>4</v>
      </c>
      <c r="L75" s="3307" t="str">
        <f>IF(H77="非个人房产","——","个人所得税")</f>
        <v>个人所得税</v>
      </c>
      <c r="M75" s="3307"/>
      <c r="N75" s="1299">
        <f ca="1">D77</f>
        <v>11</v>
      </c>
      <c r="O75" s="1872" t="str">
        <f>E77</f>
        <v>销售额×税（费）率</v>
      </c>
      <c r="P75" s="1300">
        <f>F77</f>
        <v>0.01</v>
      </c>
      <c r="Q75" s="2028"/>
      <c r="R75" s="2028"/>
      <c r="S75" s="2028"/>
      <c r="T75" s="2028"/>
      <c r="U75" s="2028"/>
      <c r="V75" s="2028"/>
    </row>
    <row r="76" spans="1:22" ht="24.75">
      <c r="A76" s="359" t="s">
        <v>395</v>
      </c>
      <c r="B76" s="3314" t="s">
        <v>421</v>
      </c>
      <c r="C76" s="3356"/>
      <c r="D76" s="362">
        <f ca="1">IF(H76="转让取得",C99,C115)</f>
        <v>110</v>
      </c>
      <c r="E76" s="17" t="s">
        <v>422</v>
      </c>
      <c r="F76" s="53" t="s">
        <v>21</v>
      </c>
      <c r="G76" s="361"/>
      <c r="H76" s="363" t="s">
        <v>423</v>
      </c>
      <c r="I76" s="42"/>
      <c r="J76" s="2035"/>
      <c r="K76" s="3054" t="str">
        <f>IF(项目基本情况!K6="上海银行",IF(K75="",4,K75+1),"")</f>
        <v/>
      </c>
      <c r="L76" s="3295" t="str">
        <f>IF(项目基本情况!K6="上海银行","其他处置费用","")</f>
        <v/>
      </c>
      <c r="M76" s="3296"/>
      <c r="N76" s="1295" t="str">
        <f>IF(项目基本情况!K6="上海银行",N89,"")</f>
        <v/>
      </c>
      <c r="O76" s="3297" t="str">
        <f>IF(项目基本情况!K6="上海银行","包含处置中涉及的律师、诉讼、拍卖、评估等费用","")</f>
        <v/>
      </c>
      <c r="P76" s="3298"/>
      <c r="Q76" s="2028"/>
      <c r="R76" s="2028"/>
      <c r="S76" s="2028"/>
      <c r="T76" s="2028"/>
      <c r="U76" s="2028"/>
      <c r="V76" s="2028"/>
    </row>
    <row r="77" spans="1:22" ht="26.25" thickBot="1">
      <c r="A77" s="3325" t="s">
        <v>425</v>
      </c>
      <c r="B77" s="3326"/>
      <c r="C77" s="3326"/>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21">
        <f>IF(AND(K75="",K76=""),4,IF(项目基本情况!K6="上海银行",K76+1,K75+1))</f>
        <v>5</v>
      </c>
      <c r="L77" s="3307" t="s">
        <v>2887</v>
      </c>
      <c r="M77" s="3060" t="s">
        <v>420</v>
      </c>
      <c r="N77" s="1301"/>
      <c r="O77" s="1302">
        <f ca="1">SUMIF(N72:N76,"&lt;9e307")</f>
        <v>179</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21"/>
      <c r="L78" s="3307"/>
      <c r="M78" s="3060" t="s">
        <v>424</v>
      </c>
      <c r="N78" s="1301"/>
      <c r="O78" s="1302" t="str">
        <f ca="1">NUMBERSTRING(INT(O77*10000),2)&amp;"元整"</f>
        <v>壹佰柒拾玖万元整</v>
      </c>
      <c r="P78" s="1303"/>
      <c r="Q78" s="2028"/>
      <c r="R78" s="2028"/>
      <c r="S78" s="2028"/>
      <c r="T78" s="2028"/>
      <c r="U78" s="2028"/>
      <c r="V78" s="2028"/>
    </row>
    <row r="79" spans="1:22" ht="13.5" thickBot="1">
      <c r="A79" s="3311" t="s">
        <v>426</v>
      </c>
      <c r="B79" s="3311"/>
      <c r="C79" s="3311"/>
      <c r="D79" s="3311"/>
      <c r="E79" s="3311"/>
      <c r="F79" s="42"/>
      <c r="G79" s="42"/>
      <c r="H79" s="1002"/>
      <c r="I79" s="311"/>
      <c r="J79" s="2035"/>
      <c r="K79" s="3305">
        <f>K77+1</f>
        <v>6</v>
      </c>
      <c r="L79" s="3307" t="s">
        <v>2888</v>
      </c>
      <c r="M79" s="3060" t="s">
        <v>420</v>
      </c>
      <c r="N79" s="1301"/>
      <c r="O79" s="1302" t="e">
        <f ca="1">N69-O77</f>
        <v>#VALUE!</v>
      </c>
      <c r="P79" s="1303"/>
      <c r="Q79" s="2028"/>
      <c r="R79" s="2028"/>
      <c r="S79" s="2028"/>
      <c r="T79" s="2028"/>
      <c r="U79" s="2028"/>
      <c r="V79" s="2028"/>
    </row>
    <row r="80" spans="1:22" ht="12.75">
      <c r="A80" s="3312" t="s">
        <v>427</v>
      </c>
      <c r="B80" s="3313"/>
      <c r="C80" s="993"/>
      <c r="D80" s="993" t="s">
        <v>428</v>
      </c>
      <c r="E80" s="370" t="s">
        <v>429</v>
      </c>
      <c r="F80" s="42"/>
      <c r="G80" s="42"/>
      <c r="H80" s="1002"/>
      <c r="I80" s="311"/>
      <c r="J80" s="2028"/>
      <c r="K80" s="3306"/>
      <c r="L80" s="3307"/>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1057</v>
      </c>
      <c r="D81" s="373"/>
      <c r="E81" s="374"/>
      <c r="F81" s="42"/>
      <c r="G81" s="42"/>
      <c r="H81" s="1002"/>
      <c r="I81" s="311"/>
      <c r="J81" s="2028"/>
      <c r="K81" s="3054">
        <f>K79+1</f>
        <v>7</v>
      </c>
      <c r="L81" s="3319" t="s">
        <v>2889</v>
      </c>
      <c r="M81" s="3320"/>
      <c r="N81" s="1305"/>
      <c r="O81" s="1306" t="e">
        <f ca="1">ROUND(O79*10000/'数据-汇总表'!E3,0)</f>
        <v>#VALUE!</v>
      </c>
      <c r="P81" s="1307"/>
      <c r="Q81" s="2028"/>
      <c r="R81" s="2028"/>
      <c r="S81" s="2028"/>
      <c r="T81" s="2028"/>
      <c r="U81" s="2028"/>
      <c r="V81" s="2028"/>
    </row>
    <row r="82" spans="1:26" ht="13.5" thickTop="1">
      <c r="A82" s="375" t="s">
        <v>1824</v>
      </c>
      <c r="B82" s="376" t="s">
        <v>431</v>
      </c>
      <c r="C82" s="377">
        <f ca="1">D63</f>
        <v>1110</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294"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294"/>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-943</v>
      </c>
      <c r="D85" s="378" t="s">
        <v>19</v>
      </c>
      <c r="E85" s="379"/>
      <c r="F85" s="42"/>
      <c r="G85" s="42"/>
      <c r="H85" s="1002"/>
      <c r="I85" s="311"/>
      <c r="J85" s="2028"/>
      <c r="K85" s="3294"/>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5.5000000000000007E-2</v>
      </c>
      <c r="E86" s="390"/>
      <c r="F86" s="42"/>
      <c r="G86" s="42"/>
      <c r="H86" s="1002"/>
      <c r="I86" s="311"/>
      <c r="J86" s="2028"/>
      <c r="K86" s="3294"/>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94"/>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48" t="s">
        <v>436</v>
      </c>
      <c r="B88" s="3349"/>
      <c r="C88" s="3349"/>
      <c r="D88" s="3349"/>
      <c r="E88" s="3349"/>
      <c r="F88" s="3349"/>
      <c r="G88" s="3349"/>
      <c r="H88" s="3349"/>
      <c r="I88" s="1314"/>
      <c r="J88" s="2036"/>
      <c r="K88" s="3294"/>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12" t="s">
        <v>427</v>
      </c>
      <c r="B89" s="3313"/>
      <c r="C89" s="993"/>
      <c r="D89" s="993" t="s">
        <v>428</v>
      </c>
      <c r="E89" s="391" t="s">
        <v>437</v>
      </c>
      <c r="F89" s="392"/>
      <c r="G89" s="392"/>
      <c r="H89" s="393"/>
      <c r="I89" s="1315"/>
      <c r="J89" s="2038"/>
      <c r="K89" s="3294"/>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1057</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45" t="s">
        <v>446</v>
      </c>
      <c r="F94" s="3346"/>
      <c r="G94" s="3346"/>
      <c r="H94" s="334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5</v>
      </c>
      <c r="D96" s="406">
        <f>'数据-取费表'!B43</f>
        <v>5.000000000000001E-3</v>
      </c>
      <c r="E96" s="3335" t="s">
        <v>2430</v>
      </c>
      <c r="F96" s="3336"/>
      <c r="G96" s="3336"/>
      <c r="H96" s="333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-1509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8" t="s">
        <v>453</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2" t="s">
        <v>427</v>
      </c>
      <c r="B102" s="3313"/>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1057</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38" t="s">
        <v>461</v>
      </c>
      <c r="F109" s="3336"/>
      <c r="G109" s="3336"/>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38" t="s">
        <v>463</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5</v>
      </c>
      <c r="D111" s="406">
        <f>'数据-取费表'!B43</f>
        <v>5.000000000000001E-3</v>
      </c>
      <c r="E111" s="3335" t="s">
        <v>2430</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38" t="s">
        <v>2455</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362</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0.52086330935251801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8" sqref="C3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4043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5094</v>
      </c>
      <c r="C3" s="2104"/>
      <c r="D3" s="2104"/>
      <c r="E3" s="2104"/>
      <c r="F3" s="2104"/>
      <c r="G3" s="2104"/>
      <c r="H3" s="2104"/>
      <c r="I3" s="2104"/>
      <c r="J3" s="2104"/>
      <c r="K3" s="2104"/>
    </row>
    <row r="4" spans="1:31" s="2041" customFormat="1" ht="18" customHeight="1">
      <c r="A4" s="426" t="s">
        <v>467</v>
      </c>
      <c r="B4" s="427">
        <f ca="1">ROUND(B2*10000/IF(B1="",'数据-汇总表'!D3,INDIRECT("'数据-取费表'!R"&amp;$K$1)),0)</f>
        <v>6113</v>
      </c>
      <c r="C4" s="428"/>
      <c r="D4" s="422"/>
      <c r="E4" s="422"/>
      <c r="F4" s="422"/>
      <c r="G4" s="422"/>
      <c r="H4" s="422"/>
      <c r="I4" s="422"/>
      <c r="J4" s="422"/>
      <c r="K4" s="422"/>
    </row>
    <row r="5" spans="1:31" s="2041" customFormat="1" ht="18" customHeight="1" thickBot="1">
      <c r="A5" s="429"/>
      <c r="B5" s="430">
        <f ca="1">ROUND(B2/(IF(B1="",'数据-汇总表'!D3,INDIRECT("'数据-取费表'!R"&amp;$K$1))/666.67),0)</f>
        <v>408</v>
      </c>
      <c r="C5" s="431" t="s">
        <v>468</v>
      </c>
      <c r="D5" s="422"/>
      <c r="E5" s="422"/>
      <c r="F5" s="422"/>
      <c r="G5" s="422"/>
      <c r="H5" s="422"/>
      <c r="I5" s="422"/>
      <c r="J5" s="422"/>
      <c r="K5" s="422"/>
    </row>
    <row r="6" spans="1:31" s="2111" customFormat="1" ht="16.5" customHeight="1">
      <c r="A6" s="2828" t="s">
        <v>1842</v>
      </c>
      <c r="B6" s="2829"/>
      <c r="C6" s="2830">
        <f ca="1">SUM(C10:K10)</f>
        <v>10319.6386</v>
      </c>
      <c r="D6" s="2829"/>
      <c r="E6" s="2829"/>
      <c r="F6" s="2829"/>
      <c r="G6" s="2829"/>
      <c r="H6" s="2829"/>
      <c r="I6" s="2829"/>
      <c r="J6" s="2829"/>
      <c r="K6" s="2831"/>
    </row>
    <row r="7" spans="1:31" s="2113" customFormat="1" ht="15">
      <c r="A7" s="2832" t="s">
        <v>469</v>
      </c>
      <c r="B7" s="2833" t="s">
        <v>470</v>
      </c>
      <c r="C7" s="436" t="s">
        <v>3164</v>
      </c>
      <c r="D7" s="436" t="s">
        <v>3166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13694</v>
      </c>
      <c r="D8" s="2834">
        <f ca="1">不动产收益法!B3</f>
        <v>6776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9781.6242000000002</v>
      </c>
      <c r="D10" s="3029">
        <f ca="1">D8*D9/10000</f>
        <v>538.01440000000002</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310</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541</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3808</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3808</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731</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731</v>
      </c>
      <c r="D35" s="1628"/>
      <c r="E35" s="2864"/>
      <c r="F35" s="1629"/>
      <c r="G35" s="2822"/>
      <c r="H35" s="2823"/>
      <c r="I35" s="2823"/>
      <c r="J35" s="2823"/>
      <c r="K35" s="2824"/>
    </row>
    <row r="36" spans="1:11" s="2085" customFormat="1" ht="13.5" customHeight="1" thickBot="1">
      <c r="A36" s="284" t="s">
        <v>1844</v>
      </c>
      <c r="B36" s="2826"/>
      <c r="C36" s="2865">
        <f ca="1">ROUND((C6-C30-C33)/(1+D30+D33),0)</f>
        <v>4043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3831</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6" t="str">
        <f>项目基本情况!B1</f>
        <v>出让国有建设用地使用权抵押价格预评估</v>
      </c>
      <c r="C37" s="3206"/>
      <c r="D37" s="3206"/>
      <c r="E37" s="3206"/>
      <c r="F37" s="3206"/>
      <c r="G37" s="3206"/>
      <c r="H37" s="3206"/>
      <c r="I37" s="3206"/>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85" zoomScaleNormal="95" zoomScaleSheetLayoutView="85" workbookViewId="0">
      <selection activeCell="N29" sqref="N29"/>
    </sheetView>
  </sheetViews>
  <sheetFormatPr defaultColWidth="9" defaultRowHeight="14.25"/>
  <cols>
    <col min="1" max="1" width="15.625" style="1336" customWidth="1"/>
    <col min="2" max="2" width="15.75" style="1336" customWidth="1"/>
    <col min="3" max="3" width="16.6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1017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1281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1538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93" t="s">
        <v>521</v>
      </c>
      <c r="D6" s="3394"/>
      <c r="E6" s="3393" t="s">
        <v>522</v>
      </c>
      <c r="F6" s="3394"/>
      <c r="G6" s="3393" t="s">
        <v>523</v>
      </c>
      <c r="H6" s="3394"/>
      <c r="I6" s="3393" t="s">
        <v>524</v>
      </c>
      <c r="J6" s="3394"/>
      <c r="K6" s="514" t="s">
        <v>525</v>
      </c>
      <c r="L6" s="2133"/>
      <c r="M6" s="2132"/>
      <c r="N6" s="2132"/>
      <c r="O6" s="2134"/>
      <c r="P6" s="3395" t="s">
        <v>526</v>
      </c>
      <c r="Q6" s="3396"/>
      <c r="R6" s="3381" t="s">
        <v>522</v>
      </c>
      <c r="S6" s="3382"/>
      <c r="T6" s="3381" t="s">
        <v>523</v>
      </c>
      <c r="U6" s="3382"/>
      <c r="V6" s="3401" t="s">
        <v>524</v>
      </c>
      <c r="W6" s="3401"/>
      <c r="X6" s="1566"/>
      <c r="Y6" s="3381" t="s">
        <v>526</v>
      </c>
      <c r="Z6" s="3382"/>
      <c r="AA6" s="3376" t="s">
        <v>522</v>
      </c>
      <c r="AB6" s="3377" t="s">
        <v>523</v>
      </c>
      <c r="AC6" s="3376" t="s">
        <v>524</v>
      </c>
    </row>
    <row r="7" spans="1:30" ht="20.25">
      <c r="A7" s="515"/>
      <c r="B7" s="516"/>
      <c r="C7" s="3404" t="s">
        <v>3001</v>
      </c>
      <c r="D7" s="3405"/>
      <c r="E7" s="3404" t="s">
        <v>3226</v>
      </c>
      <c r="F7" s="3405"/>
      <c r="G7" s="3404" t="s">
        <v>3229</v>
      </c>
      <c r="H7" s="3405"/>
      <c r="I7" s="3404" t="s">
        <v>3171</v>
      </c>
      <c r="J7" s="3405"/>
      <c r="K7" s="514"/>
      <c r="L7" s="2133"/>
      <c r="M7" s="2132"/>
      <c r="N7" s="2132"/>
      <c r="O7" s="2134"/>
      <c r="P7" s="3397"/>
      <c r="Q7" s="3398"/>
      <c r="R7" s="3383"/>
      <c r="S7" s="3384"/>
      <c r="T7" s="3383"/>
      <c r="U7" s="3384"/>
      <c r="V7" s="3401"/>
      <c r="W7" s="3401"/>
      <c r="X7" s="1566"/>
      <c r="Y7" s="3383"/>
      <c r="Z7" s="3384"/>
      <c r="AA7" s="3377"/>
      <c r="AB7" s="3377"/>
      <c r="AC7" s="3377"/>
    </row>
    <row r="8" spans="1:30" ht="21" thickBot="1">
      <c r="A8" s="515"/>
      <c r="B8" s="516"/>
      <c r="C8" s="3406" t="s">
        <v>2937</v>
      </c>
      <c r="D8" s="3407"/>
      <c r="E8" s="3406" t="s">
        <v>2937</v>
      </c>
      <c r="F8" s="3407"/>
      <c r="G8" s="3402" t="s">
        <v>2937</v>
      </c>
      <c r="H8" s="3403"/>
      <c r="I8" s="3402" t="s">
        <v>2937</v>
      </c>
      <c r="J8" s="3403"/>
      <c r="K8" s="514" t="s">
        <v>527</v>
      </c>
      <c r="L8" s="2133"/>
      <c r="M8" s="2132"/>
      <c r="N8" s="2132"/>
      <c r="O8" s="2134"/>
      <c r="P8" s="3399"/>
      <c r="Q8" s="3400"/>
      <c r="R8" s="3383"/>
      <c r="S8" s="3384"/>
      <c r="T8" s="3385"/>
      <c r="U8" s="3386"/>
      <c r="V8" s="3401"/>
      <c r="W8" s="3401"/>
      <c r="X8" s="1566"/>
      <c r="Y8" s="3385"/>
      <c r="Z8" s="3386"/>
      <c r="AA8" s="3378"/>
      <c r="AB8" s="3378"/>
      <c r="AC8" s="3378"/>
    </row>
    <row r="9" spans="1:30" s="1219" customFormat="1" ht="21" thickBot="1">
      <c r="A9" s="2912"/>
      <c r="B9" s="2919" t="s">
        <v>528</v>
      </c>
      <c r="C9" s="2911">
        <f>'数据-取费表'!B2</f>
        <v>43334</v>
      </c>
      <c r="D9" s="520">
        <v>100</v>
      </c>
      <c r="E9" s="521">
        <v>42781</v>
      </c>
      <c r="F9" s="522">
        <f>SUMIF(72:72,YEAR(E9)&amp;"-"&amp;INT((MONTH(E9)+2)/3),73:73)</f>
        <v>94</v>
      </c>
      <c r="G9" s="523">
        <v>43180</v>
      </c>
      <c r="H9" s="520">
        <f>SUMIF(72:72,YEAR(G9)&amp;"-"&amp;INT((MONTH(G9)+2)/3),73:73)</f>
        <v>98</v>
      </c>
      <c r="I9" s="523">
        <v>43155</v>
      </c>
      <c r="J9" s="520">
        <f>SUMIF(72:72,YEAR(I9)&amp;"-"&amp;INT((MONTH(I9)+2)/3),73:73)</f>
        <v>98</v>
      </c>
      <c r="K9" s="524"/>
      <c r="L9" s="2135"/>
      <c r="M9" s="2132"/>
      <c r="N9" s="2132"/>
      <c r="O9" s="2136"/>
      <c r="P9" s="3379" t="s">
        <v>529</v>
      </c>
      <c r="Q9" s="3388"/>
      <c r="R9" s="1567" t="s">
        <v>8</v>
      </c>
      <c r="S9" s="1568">
        <f t="shared" ref="S9:S17" si="0">F9</f>
        <v>94</v>
      </c>
      <c r="T9" s="1567" t="s">
        <v>8</v>
      </c>
      <c r="U9" s="1568">
        <f t="shared" ref="U9:U17" si="1">H9</f>
        <v>98</v>
      </c>
      <c r="V9" s="1567" t="s">
        <v>8</v>
      </c>
      <c r="W9" s="1568">
        <f t="shared" ref="W9:W17" si="2">J9</f>
        <v>98</v>
      </c>
      <c r="X9" s="1569"/>
      <c r="Y9" s="3379" t="s">
        <v>529</v>
      </c>
      <c r="Z9" s="3380"/>
      <c r="AA9" s="1570">
        <f>D9/F9</f>
        <v>1.0638297872340425</v>
      </c>
      <c r="AB9" s="1570">
        <f>D9/H9</f>
        <v>1.0204081632653061</v>
      </c>
      <c r="AC9" s="1570">
        <f>D9/J9</f>
        <v>1.0204081632653061</v>
      </c>
    </row>
    <row r="10" spans="1:30" s="1219" customFormat="1" ht="21"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379" t="s">
        <v>532</v>
      </c>
      <c r="Q10" s="3380"/>
      <c r="R10" s="1567" t="s">
        <v>8</v>
      </c>
      <c r="S10" s="1568">
        <f t="shared" si="0"/>
        <v>100</v>
      </c>
      <c r="T10" s="1567" t="s">
        <v>8</v>
      </c>
      <c r="U10" s="1568">
        <f t="shared" si="1"/>
        <v>100</v>
      </c>
      <c r="V10" s="1567" t="s">
        <v>8</v>
      </c>
      <c r="W10" s="1568">
        <f t="shared" si="2"/>
        <v>100</v>
      </c>
      <c r="X10" s="1569"/>
      <c r="Y10" s="3379" t="s">
        <v>532</v>
      </c>
      <c r="Z10" s="3380"/>
      <c r="AA10" s="1570">
        <f t="shared" ref="AA10:AA47" si="3">D10/F10</f>
        <v>1</v>
      </c>
      <c r="AB10" s="1570">
        <f t="shared" ref="AB10:AB47" si="4">D10/H10</f>
        <v>1</v>
      </c>
      <c r="AC10" s="1570">
        <f t="shared" ref="AC10:AC47" si="5">D10/J10</f>
        <v>1</v>
      </c>
    </row>
    <row r="11" spans="1:30" s="1219" customFormat="1" ht="20.25">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87"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87"/>
      <c r="Q12" s="1150" t="str">
        <f t="shared" si="6"/>
        <v>土地使用年限（年）</v>
      </c>
      <c r="R12" s="1567" t="s">
        <v>8</v>
      </c>
      <c r="S12" s="1568">
        <f t="shared" si="0"/>
        <v>103</v>
      </c>
      <c r="T12" s="1567" t="s">
        <v>8</v>
      </c>
      <c r="U12" s="1568">
        <f t="shared" si="1"/>
        <v>103</v>
      </c>
      <c r="V12" s="1567" t="s">
        <v>8</v>
      </c>
      <c r="W12" s="1568">
        <f t="shared" si="2"/>
        <v>103</v>
      </c>
      <c r="X12" s="1569"/>
      <c r="Y12" s="3344"/>
      <c r="Z12" s="1149" t="str">
        <f t="shared" si="7"/>
        <v>土地使用年限（年）</v>
      </c>
      <c r="AA12" s="1570">
        <f t="shared" si="3"/>
        <v>0.970873786407767</v>
      </c>
      <c r="AB12" s="1570">
        <f t="shared" si="4"/>
        <v>0.970873786407767</v>
      </c>
      <c r="AC12" s="1570">
        <f t="shared" si="5"/>
        <v>0.970873786407767</v>
      </c>
    </row>
    <row r="13" spans="1:30" ht="20.25">
      <c r="A13" s="2916"/>
      <c r="B13" s="2920" t="s">
        <v>2760</v>
      </c>
      <c r="C13" s="534">
        <v>1.2</v>
      </c>
      <c r="D13" s="255">
        <v>100</v>
      </c>
      <c r="E13" s="533">
        <v>1.2</v>
      </c>
      <c r="F13" s="255">
        <f>LOOKUP(E13,82:82,83:83)-LOOKUP(C13,82:82,83:83)+100</f>
        <v>100</v>
      </c>
      <c r="G13" s="534">
        <v>1.1000000000000001</v>
      </c>
      <c r="H13" s="255">
        <f>LOOKUP(G13,82:82,83:83)-LOOKUP(C13,82:82,83:83)+100</f>
        <v>100</v>
      </c>
      <c r="I13" s="533">
        <v>1.6</v>
      </c>
      <c r="J13" s="255">
        <f>LOOKUP(I13,82:82,83:83)-LOOKUP(C13,82:82,83:83)+100</f>
        <v>95</v>
      </c>
      <c r="K13" s="535">
        <v>5</v>
      </c>
      <c r="L13" s="2140"/>
      <c r="M13" s="2132"/>
      <c r="N13" s="2132"/>
      <c r="O13" s="2141"/>
      <c r="P13" s="3387"/>
      <c r="Q13" s="1150" t="str">
        <f t="shared" si="6"/>
        <v>容积率</v>
      </c>
      <c r="R13" s="1567" t="s">
        <v>8</v>
      </c>
      <c r="S13" s="1568">
        <f t="shared" si="0"/>
        <v>100</v>
      </c>
      <c r="T13" s="1567" t="s">
        <v>8</v>
      </c>
      <c r="U13" s="1568">
        <f t="shared" si="1"/>
        <v>100</v>
      </c>
      <c r="V13" s="1567" t="s">
        <v>8</v>
      </c>
      <c r="W13" s="1568">
        <f t="shared" si="2"/>
        <v>95</v>
      </c>
      <c r="X13" s="1569"/>
      <c r="Y13" s="3344"/>
      <c r="Z13" s="1149" t="str">
        <f t="shared" si="7"/>
        <v>容积率</v>
      </c>
      <c r="AA13" s="1570">
        <f t="shared" si="3"/>
        <v>1</v>
      </c>
      <c r="AB13" s="1570">
        <f t="shared" si="4"/>
        <v>1</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7"/>
      <c r="Q14" s="1150" t="str">
        <f t="shared" si="6"/>
        <v>配建</v>
      </c>
      <c r="R14" s="1567" t="s">
        <v>8</v>
      </c>
      <c r="S14" s="1568">
        <f t="shared" si="0"/>
        <v>100</v>
      </c>
      <c r="T14" s="1567" t="s">
        <v>8</v>
      </c>
      <c r="U14" s="1568">
        <f t="shared" si="1"/>
        <v>100</v>
      </c>
      <c r="V14" s="1567" t="s">
        <v>8</v>
      </c>
      <c r="W14" s="1568">
        <f t="shared" si="2"/>
        <v>100</v>
      </c>
      <c r="X14" s="1569"/>
      <c r="Y14" s="3344"/>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D16/F16</f>
        <v>1</v>
      </c>
      <c r="AB16" s="1570">
        <f>D16/H16</f>
        <v>1</v>
      </c>
      <c r="AC16" s="1570">
        <f>D16/J16</f>
        <v>1</v>
      </c>
    </row>
    <row r="17" spans="1:29" ht="85.5">
      <c r="A17" s="2910" t="s">
        <v>2756</v>
      </c>
      <c r="B17" s="578" t="s">
        <v>295</v>
      </c>
      <c r="C17" s="548" t="str">
        <f>估价对象房地状况!C15</f>
        <v>估价对象周边居住用地比例、居住小区规模和社区发展完善程度，综合评价居住社区成熟度一般</v>
      </c>
      <c r="D17" s="551">
        <v>100</v>
      </c>
      <c r="E17" s="3205" t="s">
        <v>3227</v>
      </c>
      <c r="F17" s="549">
        <f>SUMIF(90:90,E18,91:91)-SUMIF(90:90,C18,91:91)+100</f>
        <v>105</v>
      </c>
      <c r="G17" s="550"/>
      <c r="H17" s="549">
        <f>SUMIF(90:90,G18,91:91)-SUMIF(90:90,C18,91:91)+100</f>
        <v>105</v>
      </c>
      <c r="I17" s="552"/>
      <c r="J17" s="549">
        <f>SUMIF(90:90,I18,91:91)-SUMIF(90:90,C18,91:91)+100</f>
        <v>105</v>
      </c>
      <c r="K17" s="535">
        <v>5</v>
      </c>
      <c r="L17" s="2142"/>
      <c r="M17" s="2132"/>
      <c r="N17" s="2132" t="s">
        <v>3168</v>
      </c>
      <c r="O17" s="2141"/>
      <c r="P17" s="3389" t="s">
        <v>539</v>
      </c>
      <c r="Q17" s="1571" t="str">
        <f t="shared" si="6"/>
        <v>居住社区成熟度</v>
      </c>
      <c r="R17" s="1572" t="s">
        <v>8</v>
      </c>
      <c r="S17" s="1573">
        <f t="shared" si="0"/>
        <v>105</v>
      </c>
      <c r="T17" s="1572" t="s">
        <v>8</v>
      </c>
      <c r="U17" s="1573">
        <f t="shared" si="1"/>
        <v>105</v>
      </c>
      <c r="V17" s="1572" t="s">
        <v>8</v>
      </c>
      <c r="W17" s="1573">
        <f t="shared" si="2"/>
        <v>105</v>
      </c>
      <c r="X17" s="1566"/>
      <c r="Y17" s="3389" t="s">
        <v>539</v>
      </c>
      <c r="Z17" s="1574" t="str">
        <f t="shared" si="7"/>
        <v>居住社区成熟度</v>
      </c>
      <c r="AA17" s="1575">
        <f t="shared" si="3"/>
        <v>0.95238095238095233</v>
      </c>
      <c r="AB17" s="1575">
        <f t="shared" si="4"/>
        <v>0.95238095238095233</v>
      </c>
      <c r="AC17" s="1575">
        <f t="shared" si="5"/>
        <v>0.95238095238095233</v>
      </c>
    </row>
    <row r="18" spans="1:29" ht="20.25">
      <c r="A18" s="532"/>
      <c r="B18" s="553"/>
      <c r="C18" s="554" t="s">
        <v>3232</v>
      </c>
      <c r="D18" s="557"/>
      <c r="E18" s="558" t="s">
        <v>3002</v>
      </c>
      <c r="F18" s="555"/>
      <c r="G18" s="556" t="s">
        <v>3002</v>
      </c>
      <c r="H18" s="559"/>
      <c r="I18" s="558" t="s">
        <v>3002</v>
      </c>
      <c r="J18" s="555"/>
      <c r="K18" s="531"/>
      <c r="L18" s="2142"/>
      <c r="M18" s="2132"/>
      <c r="N18" s="2132"/>
      <c r="O18" s="2141"/>
      <c r="P18" s="3390"/>
      <c r="Q18" s="1571"/>
      <c r="R18" s="1572"/>
      <c r="S18" s="1573"/>
      <c r="T18" s="1572"/>
      <c r="U18" s="1573"/>
      <c r="V18" s="1572"/>
      <c r="W18" s="1573"/>
      <c r="X18" s="1566"/>
      <c r="Y18" s="3390"/>
      <c r="Z18" s="1574"/>
      <c r="AA18" s="1575">
        <v>1</v>
      </c>
      <c r="AB18" s="1575">
        <v>1</v>
      </c>
      <c r="AC18" s="1575">
        <v>1</v>
      </c>
    </row>
    <row r="19" spans="1:29" ht="57">
      <c r="A19" s="532"/>
      <c r="B19" s="560" t="s">
        <v>540</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103</v>
      </c>
      <c r="K19" s="535">
        <v>3</v>
      </c>
      <c r="L19" s="2142"/>
      <c r="M19" s="2132"/>
      <c r="N19" s="2132"/>
      <c r="O19" s="2141"/>
      <c r="P19" s="3390"/>
      <c r="Q19" s="1571" t="str">
        <f>B19</f>
        <v>商业繁华度</v>
      </c>
      <c r="R19" s="1572" t="s">
        <v>8</v>
      </c>
      <c r="S19" s="1573">
        <f>F19</f>
        <v>103</v>
      </c>
      <c r="T19" s="1572" t="s">
        <v>8</v>
      </c>
      <c r="U19" s="1573">
        <f>H19</f>
        <v>100</v>
      </c>
      <c r="V19" s="1572" t="s">
        <v>8</v>
      </c>
      <c r="W19" s="1573">
        <f>J19</f>
        <v>103</v>
      </c>
      <c r="X19" s="1566"/>
      <c r="Y19" s="3390"/>
      <c r="Z19" s="1574" t="str">
        <f>Q19</f>
        <v>商业繁华度</v>
      </c>
      <c r="AA19" s="1575">
        <f t="shared" si="3"/>
        <v>0.970873786407767</v>
      </c>
      <c r="AB19" s="1575">
        <f t="shared" si="4"/>
        <v>1</v>
      </c>
      <c r="AC19" s="1575">
        <f t="shared" si="5"/>
        <v>0.970873786407767</v>
      </c>
    </row>
    <row r="20" spans="1:29" ht="20.25">
      <c r="A20" s="532"/>
      <c r="B20" s="566"/>
      <c r="C20" s="567" t="s">
        <v>3232</v>
      </c>
      <c r="D20" s="563"/>
      <c r="E20" s="569" t="s">
        <v>3002</v>
      </c>
      <c r="F20" s="559"/>
      <c r="G20" s="568" t="s">
        <v>3232</v>
      </c>
      <c r="H20" s="555"/>
      <c r="I20" s="569" t="s">
        <v>3002</v>
      </c>
      <c r="J20" s="555"/>
      <c r="K20" s="531"/>
      <c r="L20" s="2142"/>
      <c r="M20" s="2132"/>
      <c r="N20" s="2132"/>
      <c r="O20" s="2141"/>
      <c r="P20" s="3390"/>
      <c r="Q20" s="1571"/>
      <c r="R20" s="1572"/>
      <c r="S20" s="1573"/>
      <c r="T20" s="1572"/>
      <c r="U20" s="1573"/>
      <c r="V20" s="1572"/>
      <c r="W20" s="1573"/>
      <c r="X20" s="1566"/>
      <c r="Y20" s="3390"/>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0.25">
      <c r="A22" s="532"/>
      <c r="B22" s="566"/>
      <c r="C22" s="554" t="s">
        <v>3232</v>
      </c>
      <c r="D22" s="557"/>
      <c r="E22" s="558" t="s">
        <v>3002</v>
      </c>
      <c r="F22" s="555"/>
      <c r="G22" s="556" t="s">
        <v>3232</v>
      </c>
      <c r="H22" s="555"/>
      <c r="I22" s="558" t="s">
        <v>3002</v>
      </c>
      <c r="J22" s="555"/>
      <c r="K22" s="531"/>
      <c r="L22" s="2142"/>
      <c r="M22" s="2132"/>
      <c r="N22" s="2132"/>
      <c r="O22" s="2141"/>
      <c r="P22" s="3390"/>
      <c r="Q22" s="1571"/>
      <c r="R22" s="1572"/>
      <c r="S22" s="1573"/>
      <c r="T22" s="1572"/>
      <c r="U22" s="1573"/>
      <c r="V22" s="1572"/>
      <c r="W22" s="1573"/>
      <c r="X22" s="1566"/>
      <c r="Y22" s="3390"/>
      <c r="Z22" s="1574"/>
      <c r="AA22" s="1575">
        <v>1</v>
      </c>
      <c r="AB22" s="1575">
        <v>1</v>
      </c>
      <c r="AC22" s="1575">
        <v>1</v>
      </c>
    </row>
    <row r="23" spans="1:29" ht="71.25">
      <c r="A23" s="532"/>
      <c r="B23" s="560" t="s">
        <v>542</v>
      </c>
      <c r="C23" s="573" t="str">
        <f>估价对象房地状况!C18</f>
        <v>估价对象周边道路状况、公共交通通达情况、停车便捷程度，综合评价交通便捷度较好</v>
      </c>
      <c r="D23" s="563">
        <v>100</v>
      </c>
      <c r="E23" s="564" t="s">
        <v>3228</v>
      </c>
      <c r="F23" s="565">
        <f>SUMIF(96:96,E24,97:97)-SUMIF(96:96,C24,97:97)+100</f>
        <v>105</v>
      </c>
      <c r="G23" s="562"/>
      <c r="H23" s="559">
        <f>SUMIF(96:96,G24,97:97)-SUMIF(96:96,C24,97:97)+100</f>
        <v>100</v>
      </c>
      <c r="I23" s="564"/>
      <c r="J23" s="559">
        <f>SUMIF(96:96,I24,97:97)-SUMIF(96:96,C24,97:97)+100</f>
        <v>100</v>
      </c>
      <c r="K23" s="535">
        <v>5</v>
      </c>
      <c r="L23" s="2142"/>
      <c r="M23" s="2132"/>
      <c r="N23" s="2132"/>
      <c r="O23" s="2141"/>
      <c r="P23" s="3390"/>
      <c r="Q23" s="1571" t="str">
        <f>B23</f>
        <v>交通便捷度</v>
      </c>
      <c r="R23" s="1572" t="s">
        <v>8</v>
      </c>
      <c r="S23" s="1573">
        <f>F23</f>
        <v>105</v>
      </c>
      <c r="T23" s="1572" t="s">
        <v>8</v>
      </c>
      <c r="U23" s="1573">
        <f>H23</f>
        <v>100</v>
      </c>
      <c r="V23" s="1572" t="s">
        <v>8</v>
      </c>
      <c r="W23" s="1573">
        <f>J23</f>
        <v>100</v>
      </c>
      <c r="X23" s="1566"/>
      <c r="Y23" s="3390"/>
      <c r="Z23" s="1574" t="str">
        <f>Q23</f>
        <v>交通便捷度</v>
      </c>
      <c r="AA23" s="1575">
        <f t="shared" si="3"/>
        <v>0.95238095238095233</v>
      </c>
      <c r="AB23" s="1575">
        <f t="shared" si="4"/>
        <v>1</v>
      </c>
      <c r="AC23" s="1575">
        <f t="shared" si="5"/>
        <v>1</v>
      </c>
    </row>
    <row r="24" spans="1:29" ht="20.25">
      <c r="A24" s="532"/>
      <c r="B24" s="578"/>
      <c r="C24" s="554" t="s">
        <v>3232</v>
      </c>
      <c r="D24" s="557"/>
      <c r="E24" s="558" t="s">
        <v>3002</v>
      </c>
      <c r="F24" s="555"/>
      <c r="G24" s="556" t="s">
        <v>3232</v>
      </c>
      <c r="H24" s="555"/>
      <c r="I24" s="558" t="s">
        <v>3232</v>
      </c>
      <c r="J24" s="555"/>
      <c r="K24" s="531"/>
      <c r="L24" s="2142"/>
      <c r="M24" s="2132"/>
      <c r="N24" s="2132"/>
      <c r="O24" s="2141"/>
      <c r="P24" s="3390"/>
      <c r="Q24" s="1571"/>
      <c r="R24" s="1572"/>
      <c r="S24" s="1573"/>
      <c r="T24" s="1572"/>
      <c r="U24" s="1573"/>
      <c r="V24" s="1572"/>
      <c r="W24" s="1573"/>
      <c r="X24" s="1566"/>
      <c r="Y24" s="3390"/>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0</v>
      </c>
      <c r="L25" s="2142"/>
      <c r="M25" s="2132"/>
      <c r="N25" s="2132"/>
      <c r="O25" s="2141"/>
      <c r="P25" s="3390"/>
      <c r="Q25" s="1571" t="str">
        <f t="shared" ref="Q25:Q39" si="8">B25</f>
        <v>区域土地利用方向</v>
      </c>
      <c r="R25" s="1572" t="s">
        <v>8</v>
      </c>
      <c r="S25" s="1573">
        <f>F25</f>
        <v>100</v>
      </c>
      <c r="T25" s="1572" t="s">
        <v>8</v>
      </c>
      <c r="U25" s="1573">
        <f>H25</f>
        <v>100</v>
      </c>
      <c r="V25" s="1572" t="s">
        <v>8</v>
      </c>
      <c r="W25" s="1573">
        <f>J25</f>
        <v>100</v>
      </c>
      <c r="X25" s="1566"/>
      <c r="Y25" s="3390"/>
      <c r="Z25" s="1574" t="str">
        <f>Q25</f>
        <v>区域土地利用方向</v>
      </c>
      <c r="AA25" s="1575">
        <f t="shared" si="3"/>
        <v>1</v>
      </c>
      <c r="AB25" s="1575">
        <f t="shared" si="4"/>
        <v>1</v>
      </c>
      <c r="AC25" s="1575">
        <f t="shared" si="5"/>
        <v>1</v>
      </c>
    </row>
    <row r="26" spans="1:29" ht="20.25">
      <c r="A26" s="515"/>
      <c r="B26" s="1006"/>
      <c r="C26" s="554" t="s">
        <v>3004</v>
      </c>
      <c r="D26" s="557"/>
      <c r="E26" s="558" t="s">
        <v>3004</v>
      </c>
      <c r="F26" s="555"/>
      <c r="G26" s="556" t="s">
        <v>3004</v>
      </c>
      <c r="H26" s="555"/>
      <c r="I26" s="558" t="s">
        <v>3004</v>
      </c>
      <c r="J26" s="555"/>
      <c r="K26" s="531"/>
      <c r="L26" s="2142"/>
      <c r="M26" s="2132"/>
      <c r="N26" s="2132"/>
      <c r="O26" s="2141"/>
      <c r="P26" s="3390"/>
      <c r="Q26" s="1571"/>
      <c r="R26" s="1572"/>
      <c r="S26" s="1573"/>
      <c r="T26" s="1572"/>
      <c r="U26" s="1573"/>
      <c r="V26" s="1572"/>
      <c r="W26" s="1573"/>
      <c r="X26" s="1566"/>
      <c r="Y26" s="3390"/>
      <c r="Z26" s="1574"/>
      <c r="AA26" s="1575"/>
      <c r="AB26" s="1575"/>
      <c r="AC26" s="1575"/>
    </row>
    <row r="27" spans="1:29" ht="42.75">
      <c r="A27" s="515"/>
      <c r="B27" s="578" t="s">
        <v>544</v>
      </c>
      <c r="C27" s="561" t="str">
        <f>估价对象房地状况!C20</f>
        <v>区域自然环境：；人文环境；综合评价环境状况一般</v>
      </c>
      <c r="D27" s="563">
        <v>100</v>
      </c>
      <c r="E27" s="564"/>
      <c r="F27" s="559">
        <f>SUMIF(100:100,E28,101:101)-SUMIF(100:100,C28,101:101)+100</f>
        <v>90</v>
      </c>
      <c r="G27" s="562"/>
      <c r="H27" s="559">
        <f>SUMIF(100:100,G28,101:101)-SUMIF(100:100,C28,101:101)+100</f>
        <v>100</v>
      </c>
      <c r="I27" s="564"/>
      <c r="J27" s="559">
        <f>SUMIF(100:100,I28,101:101)-SUMIF(100:100,C28,101:101)+100</f>
        <v>90</v>
      </c>
      <c r="K27" s="535">
        <v>5</v>
      </c>
      <c r="L27" s="2142"/>
      <c r="M27" s="2132"/>
      <c r="N27" s="2132"/>
      <c r="O27" s="2141"/>
      <c r="P27" s="3390"/>
      <c r="Q27" s="1571" t="str">
        <f t="shared" si="8"/>
        <v>自然及人文环境状况</v>
      </c>
      <c r="R27" s="1572" t="s">
        <v>8</v>
      </c>
      <c r="S27" s="1573">
        <f>F27</f>
        <v>90</v>
      </c>
      <c r="T27" s="1572" t="s">
        <v>8</v>
      </c>
      <c r="U27" s="1573">
        <f>H27</f>
        <v>100</v>
      </c>
      <c r="V27" s="1572" t="s">
        <v>8</v>
      </c>
      <c r="W27" s="1573">
        <f>J27</f>
        <v>90</v>
      </c>
      <c r="X27" s="1566"/>
      <c r="Y27" s="3390"/>
      <c r="Z27" s="1574" t="str">
        <f>Q27</f>
        <v>自然及人文环境状况</v>
      </c>
      <c r="AA27" s="1575">
        <f t="shared" si="3"/>
        <v>1.1111111111111112</v>
      </c>
      <c r="AB27" s="1575">
        <f t="shared" si="4"/>
        <v>1</v>
      </c>
      <c r="AC27" s="1575">
        <f t="shared" si="5"/>
        <v>1.1111111111111112</v>
      </c>
    </row>
    <row r="28" spans="1:29" ht="20.25">
      <c r="A28" s="515"/>
      <c r="B28" s="566"/>
      <c r="C28" s="554" t="s">
        <v>3004</v>
      </c>
      <c r="D28" s="557"/>
      <c r="E28" s="576" t="s">
        <v>3232</v>
      </c>
      <c r="F28" s="555"/>
      <c r="G28" s="554" t="s">
        <v>3004</v>
      </c>
      <c r="H28" s="555"/>
      <c r="I28" s="576" t="s">
        <v>3232</v>
      </c>
      <c r="J28" s="555"/>
      <c r="K28" s="531"/>
      <c r="L28" s="2142"/>
      <c r="M28" s="2132"/>
      <c r="N28" s="2132"/>
      <c r="O28" s="2141"/>
      <c r="P28" s="3390"/>
      <c r="Q28" s="1571"/>
      <c r="R28" s="1572"/>
      <c r="S28" s="1573"/>
      <c r="T28" s="1572"/>
      <c r="U28" s="1573"/>
      <c r="V28" s="1572"/>
      <c r="W28" s="1573"/>
      <c r="X28" s="1566"/>
      <c r="Y28" s="3390"/>
      <c r="Z28" s="1574"/>
      <c r="AA28" s="1575">
        <v>1</v>
      </c>
      <c r="AB28" s="1575">
        <v>1</v>
      </c>
      <c r="AC28" s="1575">
        <v>1</v>
      </c>
    </row>
    <row r="29" spans="1:29" s="1219" customFormat="1" ht="54">
      <c r="A29" s="577"/>
      <c r="B29" s="2591" t="s">
        <v>2550</v>
      </c>
      <c r="C29" s="573" t="str">
        <f>估价对象房地状况!C21</f>
        <v>估价对象所在区域公共配套设施齐备情况</v>
      </c>
      <c r="D29" s="563">
        <v>100</v>
      </c>
      <c r="E29" s="3198" t="s">
        <v>3230</v>
      </c>
      <c r="F29" s="559">
        <f>SUMIF(102:102,E30,103:103)-SUMIF(102:102,C30,103:103)+100</f>
        <v>103</v>
      </c>
      <c r="G29" s="562"/>
      <c r="H29" s="559">
        <f>SUMIF(102:102,G30,103:103)-SUMIF(102:102,C30,103:103)+100</f>
        <v>100</v>
      </c>
      <c r="I29" s="564"/>
      <c r="J29" s="559">
        <f>SUMIF(102:102,I30,103:103)-SUMIF(102:102,C30,103:103)+100</f>
        <v>106</v>
      </c>
      <c r="K29" s="535">
        <v>3</v>
      </c>
      <c r="L29" s="2135"/>
      <c r="M29" s="2132"/>
      <c r="N29" s="2132"/>
      <c r="O29" s="2137"/>
      <c r="P29" s="3390"/>
      <c r="Q29" s="1150" t="str">
        <f t="shared" si="8"/>
        <v>公共配套设施</v>
      </c>
      <c r="R29" s="1567" t="s">
        <v>8</v>
      </c>
      <c r="S29" s="1568">
        <f>F29</f>
        <v>103</v>
      </c>
      <c r="T29" s="1567" t="s">
        <v>8</v>
      </c>
      <c r="U29" s="1568">
        <f>H29</f>
        <v>100</v>
      </c>
      <c r="V29" s="1567" t="s">
        <v>8</v>
      </c>
      <c r="W29" s="1568">
        <f>J29</f>
        <v>106</v>
      </c>
      <c r="X29" s="1569"/>
      <c r="Y29" s="3390"/>
      <c r="Z29" s="1149" t="str">
        <f>Q29</f>
        <v>公共配套设施</v>
      </c>
      <c r="AA29" s="1575">
        <f>D29/F29</f>
        <v>0.970873786407767</v>
      </c>
      <c r="AB29" s="1575">
        <f>D29/H29</f>
        <v>1</v>
      </c>
      <c r="AC29" s="1575">
        <f>D29/J29</f>
        <v>0.94339622641509435</v>
      </c>
    </row>
    <row r="30" spans="1:29" s="1219" customFormat="1" ht="20.25">
      <c r="A30" s="577"/>
      <c r="B30" s="566"/>
      <c r="C30" s="579" t="s">
        <v>3002</v>
      </c>
      <c r="D30" s="557"/>
      <c r="E30" s="576" t="s">
        <v>3004</v>
      </c>
      <c r="F30" s="555"/>
      <c r="G30" s="554" t="s">
        <v>3002</v>
      </c>
      <c r="H30" s="555"/>
      <c r="I30" s="576" t="s">
        <v>3003</v>
      </c>
      <c r="J30" s="555"/>
      <c r="K30" s="531"/>
      <c r="L30" s="2135"/>
      <c r="M30" s="2132"/>
      <c r="N30" s="2132"/>
      <c r="O30" s="2137"/>
      <c r="P30" s="3390"/>
      <c r="Q30" s="1150"/>
      <c r="R30" s="1567"/>
      <c r="S30" s="1568"/>
      <c r="T30" s="1567"/>
      <c r="U30" s="1568"/>
      <c r="V30" s="1567"/>
      <c r="W30" s="1568"/>
      <c r="X30" s="1569"/>
      <c r="Y30" s="3390"/>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0"/>
      <c r="Q31" s="2578" t="str">
        <f t="shared" ref="Q31" si="9">B31</f>
        <v>基础设施水平</v>
      </c>
      <c r="R31" s="1567" t="s">
        <v>8</v>
      </c>
      <c r="S31" s="1568">
        <f>F31</f>
        <v>100</v>
      </c>
      <c r="T31" s="1567" t="s">
        <v>8</v>
      </c>
      <c r="U31" s="1568">
        <f>H31</f>
        <v>100</v>
      </c>
      <c r="V31" s="1567" t="s">
        <v>8</v>
      </c>
      <c r="W31" s="1568">
        <f>J31</f>
        <v>100</v>
      </c>
      <c r="X31" s="1569"/>
      <c r="Y31" s="3390"/>
      <c r="Z31" s="2575" t="str">
        <f>Q31</f>
        <v>基础设施水平</v>
      </c>
      <c r="AA31" s="1575">
        <f>D31/F31</f>
        <v>1</v>
      </c>
      <c r="AB31" s="1575">
        <f>D31/H31</f>
        <v>1</v>
      </c>
      <c r="AC31" s="1575">
        <f>D31/J31</f>
        <v>1</v>
      </c>
    </row>
    <row r="32" spans="1:29" s="1219" customFormat="1" ht="20.25">
      <c r="A32" s="577"/>
      <c r="B32" s="566"/>
      <c r="C32" s="579" t="s">
        <v>3022</v>
      </c>
      <c r="D32" s="557"/>
      <c r="E32" s="2592" t="s">
        <v>3022</v>
      </c>
      <c r="F32" s="555"/>
      <c r="G32" s="579" t="s">
        <v>3022</v>
      </c>
      <c r="H32" s="555"/>
      <c r="I32" s="579" t="s">
        <v>3022</v>
      </c>
      <c r="J32" s="555"/>
      <c r="K32" s="531"/>
      <c r="L32" s="2135"/>
      <c r="M32" s="2132"/>
      <c r="N32" s="2132"/>
      <c r="O32" s="2137"/>
      <c r="P32" s="3390"/>
      <c r="Q32" s="2578"/>
      <c r="R32" s="1567"/>
      <c r="S32" s="1568"/>
      <c r="T32" s="1567"/>
      <c r="U32" s="1568"/>
      <c r="V32" s="1567"/>
      <c r="W32" s="1568"/>
      <c r="X32" s="1569"/>
      <c r="Y32" s="3390"/>
      <c r="Z32" s="2575"/>
      <c r="AA32" s="1575">
        <v>1</v>
      </c>
      <c r="AB32" s="1575">
        <v>1</v>
      </c>
      <c r="AC32" s="1575">
        <v>1</v>
      </c>
    </row>
    <row r="33" spans="1:29" ht="21" thickBot="1">
      <c r="A33" s="532"/>
      <c r="B33" s="566" t="s">
        <v>546</v>
      </c>
      <c r="C33" s="580" t="s">
        <v>3146</v>
      </c>
      <c r="D33" s="575">
        <v>100</v>
      </c>
      <c r="E33" s="583" t="s">
        <v>3146</v>
      </c>
      <c r="F33" s="540">
        <f>SUMIF(106:106,E33,107:107)-SUMIF(106:106,C33,107:107)+100</f>
        <v>100</v>
      </c>
      <c r="G33" s="580" t="s">
        <v>3146</v>
      </c>
      <c r="H33" s="540">
        <f>SUMIF(106:106,G33,107:107)-SUMIF(106:106,C33,107:107)+100</f>
        <v>100</v>
      </c>
      <c r="I33" s="580" t="s">
        <v>3146</v>
      </c>
      <c r="J33" s="540">
        <f>SUMIF(106:106,I33,107:107)-SUMIF(106:106,C33,107:107)+100</f>
        <v>100</v>
      </c>
      <c r="K33" s="535">
        <v>0</v>
      </c>
      <c r="L33" s="2142"/>
      <c r="M33" s="2132"/>
      <c r="N33" s="2132"/>
      <c r="O33" s="2141"/>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7.75" thickTop="1">
      <c r="A34" s="532"/>
      <c r="B34" s="578" t="s">
        <v>547</v>
      </c>
      <c r="C34" s="3197" t="s">
        <v>3183</v>
      </c>
      <c r="D34" s="563">
        <v>100</v>
      </c>
      <c r="E34" s="3198" t="s">
        <v>3184</v>
      </c>
      <c r="F34" s="559">
        <f>SUMIF(108:108,E35,109:109)-SUMIF(108:108,C35,109:109)+100</f>
        <v>100</v>
      </c>
      <c r="G34" s="3180" t="s">
        <v>3185</v>
      </c>
      <c r="H34" s="559">
        <f>SUMIF(108:108,G35,109:109)-SUMIF(108:108,C35,109:109)+100</f>
        <v>101</v>
      </c>
      <c r="I34" s="3198" t="s">
        <v>3186</v>
      </c>
      <c r="J34" s="559">
        <f>SUMIF(108:108,I35,109:109)-SUMIF(108:108,C35,109:109)+100</f>
        <v>100</v>
      </c>
      <c r="K34" s="535">
        <v>1</v>
      </c>
      <c r="L34" s="2142"/>
      <c r="M34" s="2132"/>
      <c r="N34" s="2132"/>
      <c r="O34" s="2141"/>
      <c r="P34" s="3390"/>
      <c r="Q34" s="1571" t="str">
        <f t="shared" si="8"/>
        <v>毗邻道路的类型与等级</v>
      </c>
      <c r="R34" s="1572" t="s">
        <v>8</v>
      </c>
      <c r="S34" s="1573">
        <f t="shared" si="10"/>
        <v>100</v>
      </c>
      <c r="T34" s="1572" t="s">
        <v>8</v>
      </c>
      <c r="U34" s="1573">
        <f t="shared" si="11"/>
        <v>101</v>
      </c>
      <c r="V34" s="1572" t="s">
        <v>8</v>
      </c>
      <c r="W34" s="1573">
        <f t="shared" si="12"/>
        <v>100</v>
      </c>
      <c r="X34" s="1566"/>
      <c r="Y34" s="3390"/>
      <c r="Z34" s="1574" t="str">
        <f t="shared" si="13"/>
        <v>毗邻道路的类型与等级</v>
      </c>
      <c r="AA34" s="1575">
        <f t="shared" si="3"/>
        <v>1</v>
      </c>
      <c r="AB34" s="1575">
        <f t="shared" si="4"/>
        <v>0.99009900990099009</v>
      </c>
      <c r="AC34" s="1575">
        <f t="shared" si="5"/>
        <v>1</v>
      </c>
    </row>
    <row r="35" spans="1:29" ht="20.25">
      <c r="A35" s="532"/>
      <c r="B35" s="566"/>
      <c r="C35" s="554" t="s">
        <v>3172</v>
      </c>
      <c r="D35" s="557"/>
      <c r="E35" s="576" t="s">
        <v>3172</v>
      </c>
      <c r="F35" s="555"/>
      <c r="G35" s="554" t="s">
        <v>3180</v>
      </c>
      <c r="H35" s="555"/>
      <c r="I35" s="576" t="s">
        <v>3172</v>
      </c>
      <c r="J35" s="555"/>
      <c r="K35" s="581"/>
      <c r="L35" s="2142"/>
      <c r="M35" s="2132"/>
      <c r="N35" s="2132"/>
      <c r="O35" s="2141"/>
      <c r="P35" s="3390"/>
      <c r="Q35" s="1571"/>
      <c r="R35" s="1572"/>
      <c r="S35" s="1573"/>
      <c r="T35" s="1572"/>
      <c r="U35" s="1573"/>
      <c r="V35" s="1572"/>
      <c r="W35" s="1573"/>
      <c r="X35" s="1566"/>
      <c r="Y35" s="3390"/>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0"/>
      <c r="Q37" s="1571">
        <f t="shared" si="8"/>
        <v>111</v>
      </c>
      <c r="R37" s="1572" t="s">
        <v>8</v>
      </c>
      <c r="S37" s="1573">
        <f t="shared" si="10"/>
        <v>100</v>
      </c>
      <c r="T37" s="1572" t="s">
        <v>8</v>
      </c>
      <c r="U37" s="1573">
        <f t="shared" si="11"/>
        <v>100</v>
      </c>
      <c r="V37" s="1572" t="s">
        <v>8</v>
      </c>
      <c r="W37" s="1573">
        <f t="shared" si="12"/>
        <v>100</v>
      </c>
      <c r="X37" s="1566"/>
      <c r="Y37" s="3390"/>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1" t="s">
        <v>549</v>
      </c>
      <c r="Q38" s="1571">
        <f t="shared" si="8"/>
        <v>111</v>
      </c>
      <c r="R38" s="1572" t="s">
        <v>8</v>
      </c>
      <c r="S38" s="1573">
        <f t="shared" si="10"/>
        <v>100</v>
      </c>
      <c r="T38" s="1572" t="s">
        <v>8</v>
      </c>
      <c r="U38" s="1573">
        <f t="shared" si="11"/>
        <v>100</v>
      </c>
      <c r="V38" s="1572" t="s">
        <v>8</v>
      </c>
      <c r="W38" s="1573">
        <f t="shared" si="12"/>
        <v>100</v>
      </c>
      <c r="X38" s="1566"/>
      <c r="Y38" s="3392"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2"/>
      <c r="Q39" s="1571">
        <f t="shared" si="8"/>
        <v>111</v>
      </c>
      <c r="R39" s="1576" t="s">
        <v>8</v>
      </c>
      <c r="S39" s="1577">
        <f t="shared" si="10"/>
        <v>100</v>
      </c>
      <c r="T39" s="1576" t="s">
        <v>8</v>
      </c>
      <c r="U39" s="1577">
        <f t="shared" si="11"/>
        <v>100</v>
      </c>
      <c r="V39" s="1576" t="s">
        <v>8</v>
      </c>
      <c r="W39" s="1577">
        <f t="shared" si="12"/>
        <v>100</v>
      </c>
      <c r="X39" s="1578"/>
      <c r="Y39" s="3392"/>
      <c r="Z39" s="1579">
        <f t="shared" si="13"/>
        <v>111</v>
      </c>
      <c r="AA39" s="1575">
        <f t="shared" si="3"/>
        <v>1</v>
      </c>
      <c r="AB39" s="1575">
        <f t="shared" si="4"/>
        <v>1</v>
      </c>
      <c r="AC39" s="1575">
        <f t="shared" si="5"/>
        <v>1</v>
      </c>
    </row>
    <row r="40" spans="1:29" ht="20.25">
      <c r="A40" s="2907" t="s">
        <v>2757</v>
      </c>
      <c r="B40" s="595" t="s">
        <v>551</v>
      </c>
      <c r="C40" s="596">
        <f>'数据-基础表'!A3</f>
        <v>6614</v>
      </c>
      <c r="D40" s="597">
        <v>100</v>
      </c>
      <c r="E40" s="596">
        <v>15670</v>
      </c>
      <c r="F40" s="597">
        <f>LOOKUP(E40,119:119,120:120)-LOOKUP(C40,119:119,120:120)+100</f>
        <v>104</v>
      </c>
      <c r="G40" s="596">
        <v>16514</v>
      </c>
      <c r="H40" s="597">
        <f>LOOKUP(G40,119:119,120:120)-LOOKUP(C40,119:119,120:120)+100</f>
        <v>104</v>
      </c>
      <c r="I40" s="598">
        <v>6465</v>
      </c>
      <c r="J40" s="597">
        <f>LOOKUP(I40,119:119,120:120)-LOOKUP(C40,119:119,120:120)+100</f>
        <v>100</v>
      </c>
      <c r="K40" s="581"/>
      <c r="L40" s="2142"/>
      <c r="M40" s="2132"/>
      <c r="N40" s="2132"/>
      <c r="O40" s="2141"/>
      <c r="P40" s="3392"/>
      <c r="Q40" s="1571" t="str">
        <f>B40</f>
        <v>宗地面积</v>
      </c>
      <c r="R40" s="1572" t="s">
        <v>8</v>
      </c>
      <c r="S40" s="1573">
        <f t="shared" si="10"/>
        <v>104</v>
      </c>
      <c r="T40" s="1572" t="s">
        <v>8</v>
      </c>
      <c r="U40" s="1573">
        <f t="shared" si="11"/>
        <v>104</v>
      </c>
      <c r="V40" s="1572" t="s">
        <v>8</v>
      </c>
      <c r="W40" s="1573">
        <f t="shared" si="12"/>
        <v>100</v>
      </c>
      <c r="X40" s="1566"/>
      <c r="Y40" s="3392"/>
      <c r="Z40" s="1574" t="str">
        <f t="shared" si="13"/>
        <v>宗地面积</v>
      </c>
      <c r="AA40" s="1575">
        <f t="shared" si="3"/>
        <v>0.96153846153846156</v>
      </c>
      <c r="AB40" s="1575">
        <f t="shared" si="4"/>
        <v>0.96153846153846156</v>
      </c>
      <c r="AC40" s="1575">
        <f t="shared" si="5"/>
        <v>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9" customFormat="1" ht="20.25">
      <c r="A43" s="600"/>
      <c r="B43" s="1895" t="s">
        <v>2426</v>
      </c>
      <c r="C43" s="601" t="s">
        <v>3155</v>
      </c>
      <c r="D43" s="255">
        <v>100</v>
      </c>
      <c r="E43" s="601" t="s">
        <v>3155</v>
      </c>
      <c r="F43" s="540">
        <f>SUMIF(125:125,E43,126:126)-SUMIF(125:125,C43,126:126)+100</f>
        <v>100</v>
      </c>
      <c r="G43" s="601" t="s">
        <v>3155</v>
      </c>
      <c r="H43" s="540">
        <f>SUMIF(125:125,G43,126:126)-SUMIF(125:125,C43,126:126)+100</f>
        <v>100</v>
      </c>
      <c r="I43" s="601" t="s">
        <v>3155</v>
      </c>
      <c r="J43" s="540">
        <f>SUMIF(125:125,I43,126:126)-SUMIF(125:125,C43,126:126)+100</f>
        <v>100</v>
      </c>
      <c r="K43" s="584">
        <v>20</v>
      </c>
      <c r="L43" s="2135"/>
      <c r="M43" s="2132"/>
      <c r="N43" s="2132"/>
      <c r="O43" s="2137"/>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2" t="s">
        <v>549</v>
      </c>
      <c r="Q44" s="1571" t="str">
        <f t="shared" si="14"/>
        <v>工程地质条件</v>
      </c>
      <c r="R44" s="1572" t="s">
        <v>8</v>
      </c>
      <c r="S44" s="1573">
        <f t="shared" si="10"/>
        <v>100</v>
      </c>
      <c r="T44" s="1572" t="s">
        <v>8</v>
      </c>
      <c r="U44" s="1573">
        <f t="shared" si="11"/>
        <v>100</v>
      </c>
      <c r="V44" s="1572" t="s">
        <v>8</v>
      </c>
      <c r="W44" s="1573">
        <f t="shared" si="12"/>
        <v>100</v>
      </c>
      <c r="X44" s="1566"/>
      <c r="Y44" s="3392"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2"/>
      <c r="Q45" s="1571">
        <f t="shared" si="14"/>
        <v>111</v>
      </c>
      <c r="R45" s="1572" t="s">
        <v>8</v>
      </c>
      <c r="S45" s="1573">
        <f t="shared" si="10"/>
        <v>100</v>
      </c>
      <c r="T45" s="1572" t="s">
        <v>8</v>
      </c>
      <c r="U45" s="1573">
        <f t="shared" si="11"/>
        <v>100</v>
      </c>
      <c r="V45" s="1572" t="s">
        <v>8</v>
      </c>
      <c r="W45" s="1573">
        <f t="shared" si="12"/>
        <v>100</v>
      </c>
      <c r="X45" s="1566"/>
      <c r="Y45" s="3392"/>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2"/>
      <c r="Q46" s="1571">
        <f t="shared" si="14"/>
        <v>111</v>
      </c>
      <c r="R46" s="1572" t="s">
        <v>8</v>
      </c>
      <c r="S46" s="1573">
        <f t="shared" si="10"/>
        <v>100</v>
      </c>
      <c r="T46" s="1572" t="s">
        <v>8</v>
      </c>
      <c r="U46" s="1573">
        <f t="shared" si="11"/>
        <v>100</v>
      </c>
      <c r="V46" s="1572" t="s">
        <v>8</v>
      </c>
      <c r="W46" s="1573">
        <f t="shared" si="12"/>
        <v>100</v>
      </c>
      <c r="X46" s="1566"/>
      <c r="Y46" s="3392"/>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2"/>
      <c r="Q47" s="1571">
        <f t="shared" si="14"/>
        <v>111</v>
      </c>
      <c r="R47" s="1576" t="s">
        <v>8</v>
      </c>
      <c r="S47" s="1577">
        <f t="shared" si="10"/>
        <v>100</v>
      </c>
      <c r="T47" s="1576" t="s">
        <v>8</v>
      </c>
      <c r="U47" s="1577">
        <f t="shared" si="11"/>
        <v>100</v>
      </c>
      <c r="V47" s="1576" t="s">
        <v>8</v>
      </c>
      <c r="W47" s="1577">
        <f t="shared" si="12"/>
        <v>100</v>
      </c>
      <c r="X47" s="1578"/>
      <c r="Y47" s="3392"/>
      <c r="Z47" s="1579">
        <f t="shared" si="13"/>
        <v>111</v>
      </c>
      <c r="AA47" s="1575">
        <f t="shared" si="3"/>
        <v>1</v>
      </c>
      <c r="AB47" s="1575">
        <f t="shared" si="4"/>
        <v>1</v>
      </c>
      <c r="AC47" s="1575">
        <f t="shared" si="5"/>
        <v>1</v>
      </c>
    </row>
    <row r="48" spans="1:29" ht="20.25">
      <c r="A48" s="607" t="s">
        <v>555</v>
      </c>
      <c r="B48" s="608" t="s">
        <v>3145</v>
      </c>
      <c r="C48" s="609" t="s">
        <v>1</v>
      </c>
      <c r="D48" s="610"/>
      <c r="E48" s="611">
        <v>1428</v>
      </c>
      <c r="F48" s="612"/>
      <c r="G48" s="613">
        <v>1360</v>
      </c>
      <c r="H48" s="614"/>
      <c r="I48" s="611">
        <v>1260</v>
      </c>
      <c r="J48" s="614"/>
      <c r="K48" s="1339"/>
      <c r="L48" s="2144"/>
      <c r="M48" s="2132"/>
      <c r="N48" s="2132"/>
      <c r="O48" s="2145"/>
      <c r="P48" s="3387" t="str">
        <f>A48</f>
        <v>成交单价</v>
      </c>
      <c r="Q48" s="3387"/>
      <c r="R48" s="3401">
        <f>E48</f>
        <v>1428</v>
      </c>
      <c r="S48" s="3401"/>
      <c r="T48" s="3401">
        <f>G48</f>
        <v>1360</v>
      </c>
      <c r="U48" s="3401"/>
      <c r="V48" s="3401">
        <f>I48</f>
        <v>1260</v>
      </c>
      <c r="W48" s="3401"/>
      <c r="X48" s="1558"/>
      <c r="Y48" s="1580"/>
      <c r="Z48" s="1558"/>
      <c r="AA48" s="1558"/>
      <c r="AB48" s="1558"/>
      <c r="AC48" s="1558"/>
    </row>
    <row r="49" spans="1:29" ht="21" thickBot="1">
      <c r="A49" s="615" t="s">
        <v>2695</v>
      </c>
      <c r="B49" s="616"/>
      <c r="C49" s="617">
        <f>R50</f>
        <v>1281</v>
      </c>
      <c r="D49" s="618"/>
      <c r="E49" s="617">
        <f>R49</f>
        <v>1347</v>
      </c>
      <c r="F49" s="619"/>
      <c r="G49" s="620">
        <f>T49</f>
        <v>1222</v>
      </c>
      <c r="H49" s="618"/>
      <c r="I49" s="617">
        <f>V49</f>
        <v>1274</v>
      </c>
      <c r="J49" s="618"/>
      <c r="K49" s="1340"/>
      <c r="L49" s="2144"/>
      <c r="M49" s="2132"/>
      <c r="N49" s="2132"/>
      <c r="O49" s="2145"/>
      <c r="P49" s="3387" t="str">
        <f>A49</f>
        <v>比较价格（元/平方米）</v>
      </c>
      <c r="Q49" s="3387"/>
      <c r="R49" s="3411">
        <f>ROUND(PRODUCT(R48,AA9:AA47),0)</f>
        <v>1347</v>
      </c>
      <c r="S49" s="3411"/>
      <c r="T49" s="3411">
        <f>ROUND(PRODUCT(T48,AB9:AB47),0)</f>
        <v>1222</v>
      </c>
      <c r="U49" s="3411"/>
      <c r="V49" s="3411">
        <f>ROUND(PRODUCT(V48,AC9:AC47),0)</f>
        <v>1274</v>
      </c>
      <c r="W49" s="3411"/>
      <c r="X49" s="1558"/>
      <c r="Y49" s="1558"/>
      <c r="Z49" s="1558"/>
      <c r="AA49" s="1558"/>
      <c r="AB49" s="1558"/>
      <c r="AC49" s="1558"/>
    </row>
    <row r="50" spans="1:29" ht="21" thickBot="1">
      <c r="A50" s="621" t="s">
        <v>2939</v>
      </c>
      <c r="B50" s="622"/>
      <c r="C50" s="623">
        <f>R50</f>
        <v>1281</v>
      </c>
      <c r="D50" s="623"/>
      <c r="E50" s="623"/>
      <c r="F50" s="623"/>
      <c r="G50" s="623"/>
      <c r="H50" s="623"/>
      <c r="I50" s="623"/>
      <c r="J50" s="623"/>
      <c r="K50" s="1341"/>
      <c r="L50" s="2144"/>
      <c r="M50" s="2132"/>
      <c r="N50" s="2132"/>
      <c r="O50" s="2145"/>
      <c r="P50" s="3408" t="str">
        <f>A50</f>
        <v>估价对象XX用房的比较价格（楼面单价，元/平方米）</v>
      </c>
      <c r="Q50" s="3409"/>
      <c r="R50" s="3410">
        <f>ROUND(AVERAGE(R49:V49),0)</f>
        <v>1281</v>
      </c>
      <c r="S50" s="3410"/>
      <c r="T50" s="3410"/>
      <c r="U50" s="3410"/>
      <c r="V50" s="3410"/>
      <c r="W50" s="341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6.0133630289532336E-2</v>
      </c>
      <c r="F53" s="627" t="str">
        <f>IF(OR(E53&gt;=0.3,E53&lt;=-0.3),"超过30%","")</f>
        <v/>
      </c>
      <c r="G53" s="626">
        <f>IF(G48&lt;G49,G49/G48-1,G48/G49-1)</f>
        <v>0.11292962356792136</v>
      </c>
      <c r="H53" s="627" t="str">
        <f>IF(OR(G53&gt;=0.3,G53&lt;=-0.3),"超过30%","")</f>
        <v/>
      </c>
      <c r="I53" s="626">
        <f>IF(I48&lt;I49,I49/I48-1,I48/I49-1)</f>
        <v>1.1111111111111072E-2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0.10229132569558108</v>
      </c>
      <c r="F54" s="627" t="str">
        <f>IF(OR(E54&gt;=0.2,E54&lt;=-0.2),"超过20%","")</f>
        <v/>
      </c>
      <c r="G54" s="626">
        <f>IF(G49&lt;I49,I49/G49-1,G49/I49-1)</f>
        <v>4.2553191489361764E-2</v>
      </c>
      <c r="H54" s="627" t="str">
        <f>IF(OR(G54&gt;=0.2,G54&lt;=-0.2),"超过20%","")</f>
        <v/>
      </c>
      <c r="I54" s="626">
        <f>IF(I49&lt;E49,E49/I49-1,I49/E49-1)</f>
        <v>5.7299843014128715E-2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71" t="s">
        <v>2283</v>
      </c>
      <c r="H57" s="3372"/>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1281</v>
      </c>
      <c r="C58" s="635">
        <v>1</v>
      </c>
      <c r="D58" s="2228">
        <v>1</v>
      </c>
      <c r="E58" s="635">
        <f>'数据-汇总表'!E8+'数据-汇总表'!E9</f>
        <v>7937</v>
      </c>
      <c r="F58" s="636">
        <f t="shared" ref="F58:F67" si="15">ROUND(B58*E58/10000,0)</f>
        <v>1017</v>
      </c>
      <c r="G58" s="3373"/>
      <c r="H58" s="337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75"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7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7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7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7937</v>
      </c>
      <c r="F68" s="644">
        <f>IF(B48="楼面地价",SUM(F58:F67),ROUND(C50*E68/10000,0))</f>
        <v>1017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98</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3154</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3138</v>
      </c>
      <c r="D108" s="3180" t="s">
        <v>3139</v>
      </c>
      <c r="E108" s="3180" t="s">
        <v>3140</v>
      </c>
      <c r="F108" s="3180" t="s">
        <v>3141</v>
      </c>
      <c r="G108" s="3180" t="s">
        <v>3142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75" thickTop="1" thickBot="1">
      <c r="A121" s="735"/>
      <c r="B121" s="673" t="s">
        <v>593</v>
      </c>
      <c r="C121" s="3199" t="s">
        <v>3173</v>
      </c>
      <c r="D121" s="3200" t="s">
        <v>3174</v>
      </c>
      <c r="E121" s="3200" t="s">
        <v>3175</v>
      </c>
      <c r="F121" s="3200" t="s">
        <v>3176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3156</v>
      </c>
      <c r="D125" s="1375" t="s">
        <v>3157</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landscape"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93" t="s">
        <v>521</v>
      </c>
      <c r="D6" s="3394"/>
      <c r="E6" s="3417" t="s">
        <v>522</v>
      </c>
      <c r="F6" s="3418"/>
      <c r="G6" s="3393" t="s">
        <v>523</v>
      </c>
      <c r="H6" s="3394"/>
      <c r="I6" s="3393" t="s">
        <v>524</v>
      </c>
      <c r="J6" s="3394"/>
      <c r="K6" s="514" t="s">
        <v>525</v>
      </c>
      <c r="L6" s="2133"/>
      <c r="M6" s="2134"/>
      <c r="N6" s="2134"/>
      <c r="O6" s="2134"/>
      <c r="P6" s="3395" t="s">
        <v>526</v>
      </c>
      <c r="Q6" s="3396"/>
      <c r="R6" s="3381" t="s">
        <v>522</v>
      </c>
      <c r="S6" s="3382"/>
      <c r="T6" s="3381" t="s">
        <v>523</v>
      </c>
      <c r="U6" s="3382"/>
      <c r="V6" s="3401" t="s">
        <v>524</v>
      </c>
      <c r="W6" s="3401"/>
      <c r="X6" s="1566"/>
      <c r="Y6" s="3381" t="s">
        <v>526</v>
      </c>
      <c r="Z6" s="3382"/>
      <c r="AA6" s="3376" t="s">
        <v>522</v>
      </c>
      <c r="AB6" s="3377" t="s">
        <v>523</v>
      </c>
      <c r="AC6" s="3376" t="s">
        <v>524</v>
      </c>
    </row>
    <row r="7" spans="1:29" ht="15">
      <c r="A7" s="515"/>
      <c r="B7" s="516"/>
      <c r="C7" s="3421" t="s">
        <v>2933</v>
      </c>
      <c r="D7" s="3405"/>
      <c r="E7" s="3419" t="s">
        <v>2934</v>
      </c>
      <c r="F7" s="3420"/>
      <c r="G7" s="3421" t="s">
        <v>2935</v>
      </c>
      <c r="H7" s="3405"/>
      <c r="I7" s="3421" t="s">
        <v>2936</v>
      </c>
      <c r="J7" s="3405"/>
      <c r="K7" s="514"/>
      <c r="L7" s="2133"/>
      <c r="M7" s="2134"/>
      <c r="N7" s="2134"/>
      <c r="O7" s="2134"/>
      <c r="P7" s="3397"/>
      <c r="Q7" s="3398"/>
      <c r="R7" s="3383"/>
      <c r="S7" s="3384"/>
      <c r="T7" s="3383"/>
      <c r="U7" s="3384"/>
      <c r="V7" s="3401"/>
      <c r="W7" s="3401"/>
      <c r="X7" s="1566"/>
      <c r="Y7" s="3383"/>
      <c r="Z7" s="3384"/>
      <c r="AA7" s="3377"/>
      <c r="AB7" s="3377"/>
      <c r="AC7" s="3377"/>
    </row>
    <row r="8" spans="1:29" ht="15.75" thickBot="1">
      <c r="A8" s="517"/>
      <c r="B8" s="518"/>
      <c r="C8" s="3402" t="s">
        <v>2937</v>
      </c>
      <c r="D8" s="3403"/>
      <c r="E8" s="3422" t="s">
        <v>2937</v>
      </c>
      <c r="F8" s="3423"/>
      <c r="G8" s="3402" t="s">
        <v>2937</v>
      </c>
      <c r="H8" s="3403"/>
      <c r="I8" s="3402" t="s">
        <v>2937</v>
      </c>
      <c r="J8" s="3403"/>
      <c r="K8" s="514" t="s">
        <v>527</v>
      </c>
      <c r="L8" s="2133"/>
      <c r="M8" s="2134"/>
      <c r="N8" s="2134"/>
      <c r="O8" s="2134"/>
      <c r="P8" s="3399"/>
      <c r="Q8" s="3400"/>
      <c r="R8" s="3383"/>
      <c r="S8" s="3384"/>
      <c r="T8" s="3385"/>
      <c r="U8" s="3386"/>
      <c r="V8" s="3401"/>
      <c r="W8" s="3401"/>
      <c r="X8" s="1566"/>
      <c r="Y8" s="3385"/>
      <c r="Z8" s="3386"/>
      <c r="AA8" s="3378"/>
      <c r="AB8" s="3378"/>
      <c r="AC8" s="3378"/>
    </row>
    <row r="9" spans="1:29" s="1219" customFormat="1" ht="15.7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9" t="s">
        <v>529</v>
      </c>
      <c r="Q9" s="3388"/>
      <c r="R9" s="1567" t="s">
        <v>8</v>
      </c>
      <c r="S9" s="1568">
        <f t="shared" ref="S9:S17" si="0">F9</f>
        <v>0</v>
      </c>
      <c r="T9" s="1567" t="s">
        <v>8</v>
      </c>
      <c r="U9" s="1568">
        <f t="shared" ref="U9:U17" si="1">H9</f>
        <v>0</v>
      </c>
      <c r="V9" s="1567" t="s">
        <v>8</v>
      </c>
      <c r="W9" s="1568">
        <f t="shared" ref="W9:W17" si="2">J9</f>
        <v>0</v>
      </c>
      <c r="X9" s="1569"/>
      <c r="Y9" s="3379" t="s">
        <v>529</v>
      </c>
      <c r="Z9" s="3380"/>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9" t="s">
        <v>532</v>
      </c>
      <c r="Q10" s="3380"/>
      <c r="R10" s="1567" t="s">
        <v>8</v>
      </c>
      <c r="S10" s="1568">
        <f t="shared" si="0"/>
        <v>0</v>
      </c>
      <c r="T10" s="1567" t="s">
        <v>8</v>
      </c>
      <c r="U10" s="1568">
        <f t="shared" si="1"/>
        <v>0</v>
      </c>
      <c r="V10" s="1567" t="s">
        <v>8</v>
      </c>
      <c r="W10" s="1568">
        <f t="shared" si="2"/>
        <v>0</v>
      </c>
      <c r="X10" s="1569"/>
      <c r="Y10" s="3379" t="s">
        <v>532</v>
      </c>
      <c r="Z10" s="3380"/>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7"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87"/>
      <c r="Q12" s="1150" t="str">
        <f t="shared" si="6"/>
        <v>土地使用年限（年）</v>
      </c>
      <c r="R12" s="1567" t="s">
        <v>8</v>
      </c>
      <c r="S12" s="1568">
        <f t="shared" si="0"/>
        <v>103</v>
      </c>
      <c r="T12" s="1567" t="s">
        <v>8</v>
      </c>
      <c r="U12" s="1568">
        <f t="shared" si="1"/>
        <v>103</v>
      </c>
      <c r="V12" s="1567" t="s">
        <v>8</v>
      </c>
      <c r="W12" s="1568">
        <f t="shared" si="2"/>
        <v>103</v>
      </c>
      <c r="X12" s="1569"/>
      <c r="Y12" s="3344"/>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7"/>
      <c r="Q13" s="1150" t="str">
        <f t="shared" si="6"/>
        <v>容积率</v>
      </c>
      <c r="R13" s="1567" t="s">
        <v>8</v>
      </c>
      <c r="S13" s="1568" t="e">
        <f t="shared" si="0"/>
        <v>#N/A</v>
      </c>
      <c r="T13" s="1567" t="s">
        <v>8</v>
      </c>
      <c r="U13" s="1568" t="e">
        <f t="shared" si="1"/>
        <v>#N/A</v>
      </c>
      <c r="V13" s="1567" t="s">
        <v>8</v>
      </c>
      <c r="W13" s="1568" t="e">
        <f t="shared" si="2"/>
        <v>#N/A</v>
      </c>
      <c r="X13" s="1569"/>
      <c r="Y13" s="3344"/>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9" t="s">
        <v>539</v>
      </c>
      <c r="Q17" s="1571" t="str">
        <f t="shared" si="6"/>
        <v>产业集聚程度</v>
      </c>
      <c r="R17" s="1572" t="s">
        <v>8</v>
      </c>
      <c r="S17" s="1573">
        <f t="shared" si="0"/>
        <v>100</v>
      </c>
      <c r="T17" s="1572" t="s">
        <v>8</v>
      </c>
      <c r="U17" s="1573">
        <f t="shared" si="1"/>
        <v>100</v>
      </c>
      <c r="V17" s="1572" t="s">
        <v>8</v>
      </c>
      <c r="W17" s="1573">
        <f t="shared" si="2"/>
        <v>100</v>
      </c>
      <c r="X17" s="1566"/>
      <c r="Y17" s="3389"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0"/>
      <c r="Q18" s="1571"/>
      <c r="R18" s="1572"/>
      <c r="S18" s="1573"/>
      <c r="T18" s="1572"/>
      <c r="U18" s="1573"/>
      <c r="V18" s="1572"/>
      <c r="W18" s="1573"/>
      <c r="X18" s="1566"/>
      <c r="Y18" s="3390"/>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90"/>
      <c r="Q22" s="1571"/>
      <c r="R22" s="1572"/>
      <c r="S22" s="1573"/>
      <c r="T22" s="1572"/>
      <c r="U22" s="1573"/>
      <c r="V22" s="1572"/>
      <c r="W22" s="1573"/>
      <c r="X22" s="1566"/>
      <c r="Y22" s="3390"/>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90"/>
      <c r="Q24" s="1571"/>
      <c r="R24" s="1572"/>
      <c r="S24" s="1573"/>
      <c r="T24" s="1572"/>
      <c r="U24" s="1573"/>
      <c r="V24" s="1572"/>
      <c r="W24" s="1573"/>
      <c r="X24" s="1566"/>
      <c r="Y24" s="3390"/>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0"/>
      <c r="Q25" s="1150" t="str">
        <f t="shared" si="8"/>
        <v>公共配套设施</v>
      </c>
      <c r="R25" s="1567" t="s">
        <v>8</v>
      </c>
      <c r="S25" s="1568">
        <f>F25</f>
        <v>100</v>
      </c>
      <c r="T25" s="1567" t="s">
        <v>8</v>
      </c>
      <c r="U25" s="1568">
        <f>H25</f>
        <v>100</v>
      </c>
      <c r="V25" s="1567" t="s">
        <v>8</v>
      </c>
      <c r="W25" s="1568">
        <f>J25</f>
        <v>100</v>
      </c>
      <c r="X25" s="1569"/>
      <c r="Y25" s="339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90"/>
      <c r="Q26" s="1150"/>
      <c r="R26" s="1567"/>
      <c r="S26" s="1568"/>
      <c r="T26" s="1567"/>
      <c r="U26" s="1568"/>
      <c r="V26" s="1567"/>
      <c r="W26" s="1568"/>
      <c r="X26" s="1569"/>
      <c r="Y26" s="3390"/>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0"/>
      <c r="Q27" s="2578" t="str">
        <f t="shared" ref="Q27" si="9">B27</f>
        <v>基础设施水平</v>
      </c>
      <c r="R27" s="1567" t="s">
        <v>8</v>
      </c>
      <c r="S27" s="1568">
        <f>F27</f>
        <v>100</v>
      </c>
      <c r="T27" s="1567" t="s">
        <v>8</v>
      </c>
      <c r="U27" s="1568">
        <f>H27</f>
        <v>100</v>
      </c>
      <c r="V27" s="1567" t="s">
        <v>8</v>
      </c>
      <c r="W27" s="1568">
        <f>J27</f>
        <v>100</v>
      </c>
      <c r="X27" s="1569"/>
      <c r="Y27" s="339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90"/>
      <c r="Q28" s="2578"/>
      <c r="R28" s="1567"/>
      <c r="S28" s="1568"/>
      <c r="T28" s="1567"/>
      <c r="U28" s="1568"/>
      <c r="V28" s="1567"/>
      <c r="W28" s="1568"/>
      <c r="X28" s="1569"/>
      <c r="Y28" s="3390"/>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90"/>
      <c r="Q31" s="1571"/>
      <c r="R31" s="1572"/>
      <c r="S31" s="1573"/>
      <c r="T31" s="1572"/>
      <c r="U31" s="1573"/>
      <c r="V31" s="1572"/>
      <c r="W31" s="1573"/>
      <c r="X31" s="1566"/>
      <c r="Y31" s="3390"/>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1" t="s">
        <v>549</v>
      </c>
      <c r="Q34" s="1571">
        <f t="shared" si="8"/>
        <v>111</v>
      </c>
      <c r="R34" s="1572" t="s">
        <v>8</v>
      </c>
      <c r="S34" s="1573">
        <f t="shared" si="10"/>
        <v>100</v>
      </c>
      <c r="T34" s="1572" t="s">
        <v>8</v>
      </c>
      <c r="U34" s="1573">
        <f t="shared" si="11"/>
        <v>100</v>
      </c>
      <c r="V34" s="1572" t="s">
        <v>8</v>
      </c>
      <c r="W34" s="1573">
        <f t="shared" si="12"/>
        <v>100</v>
      </c>
      <c r="X34" s="1566"/>
      <c r="Y34" s="3392"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t="s">
        <v>600</v>
      </c>
      <c r="Q39" s="1571" t="str">
        <f t="shared" si="14"/>
        <v>工程地质条件</v>
      </c>
      <c r="R39" s="1572" t="s">
        <v>8</v>
      </c>
      <c r="S39" s="1573">
        <f t="shared" si="10"/>
        <v>100</v>
      </c>
      <c r="T39" s="1572" t="s">
        <v>8</v>
      </c>
      <c r="U39" s="1573">
        <f t="shared" si="11"/>
        <v>100</v>
      </c>
      <c r="V39" s="1572" t="s">
        <v>8</v>
      </c>
      <c r="W39" s="1573">
        <f t="shared" si="12"/>
        <v>100</v>
      </c>
      <c r="X39" s="1566"/>
      <c r="Y39" s="3392"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87" t="str">
        <f>A43</f>
        <v>成交单价</v>
      </c>
      <c r="Q43" s="3387"/>
      <c r="R43" s="3401">
        <f>E43</f>
        <v>0</v>
      </c>
      <c r="S43" s="3401"/>
      <c r="T43" s="3401">
        <f>G43</f>
        <v>0</v>
      </c>
      <c r="U43" s="3401"/>
      <c r="V43" s="3401">
        <f>I43</f>
        <v>0</v>
      </c>
      <c r="W43" s="3401"/>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87" t="str">
        <f>A44</f>
        <v>比较价格（元/平方米）</v>
      </c>
      <c r="Q44" s="3387"/>
      <c r="R44" s="3411" t="e">
        <f>ROUND(PRODUCT(R43,AA9:AA42),0)</f>
        <v>#DIV/0!</v>
      </c>
      <c r="S44" s="3411"/>
      <c r="T44" s="3411" t="e">
        <f>ROUND(PRODUCT(T43,AB9:AB42),0)</f>
        <v>#DIV/0!</v>
      </c>
      <c r="U44" s="3411"/>
      <c r="V44" s="3411" t="e">
        <f>ROUND(PRODUCT(V43,AC9:AC42),0)</f>
        <v>#DIV/0!</v>
      </c>
      <c r="W44" s="3411"/>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408" t="str">
        <f>A45</f>
        <v>估价对象XX用房的比较价格（楼面单价，元/平方米）</v>
      </c>
      <c r="Q45" s="3409"/>
      <c r="R45" s="3410" t="e">
        <f>ROUND(AVERAGE(R44:V44),0)</f>
        <v>#DIV/0!</v>
      </c>
      <c r="S45" s="3410"/>
      <c r="T45" s="3410"/>
      <c r="U45" s="3410"/>
      <c r="V45" s="3410"/>
      <c r="W45" s="341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2" t="s">
        <v>2286</v>
      </c>
      <c r="H52" s="3413"/>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7937</v>
      </c>
      <c r="F53" s="1950" t="e">
        <f t="shared" ref="F53:F62" si="15">ROUND(B53*E53/10000,0)</f>
        <v>#DIV/0!</v>
      </c>
      <c r="G53" s="3414"/>
      <c r="H53" s="341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16"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1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1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1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5"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26"/>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5" t="s">
        <v>2785</v>
      </c>
      <c r="X8" s="343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6"/>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4"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6"/>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6"/>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4"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25"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4"/>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7"/>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34"/>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27"/>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1"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9" t="s">
        <v>1633</v>
      </c>
      <c r="B90" s="3429"/>
      <c r="C90" s="3429"/>
      <c r="D90" s="3429"/>
      <c r="E90" s="3429"/>
      <c r="F90" s="3429"/>
      <c r="G90" s="3429"/>
      <c r="H90" s="3429"/>
      <c r="I90" s="3429"/>
      <c r="J90" s="3429"/>
      <c r="K90" s="2450"/>
      <c r="L90" s="2450"/>
      <c r="M90" s="2450"/>
      <c r="N90" s="2450"/>
    </row>
    <row r="91" spans="1:40">
      <c r="A91" s="3430" t="s">
        <v>1443</v>
      </c>
      <c r="B91" s="3430" t="s">
        <v>1634</v>
      </c>
      <c r="C91" s="1139" t="s">
        <v>1635</v>
      </c>
      <c r="D91" s="1140"/>
      <c r="E91" s="1140"/>
      <c r="F91" s="1140"/>
      <c r="G91" s="1140"/>
      <c r="H91" s="1140"/>
      <c r="I91" s="1140"/>
      <c r="J91" s="1141"/>
      <c r="K91" s="1133"/>
      <c r="L91" s="1133"/>
      <c r="M91" s="1133"/>
      <c r="N91" s="1133"/>
    </row>
    <row r="92" spans="1:40">
      <c r="A92" s="3430"/>
      <c r="B92" s="343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37"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7"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38"/>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38"/>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38"/>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38"/>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38"/>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38"/>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38"/>
      <c r="B108" s="344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9"/>
      <c r="B109" s="3441"/>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24" t="s">
        <v>1639</v>
      </c>
      <c r="B110" s="3424"/>
      <c r="C110" s="3424"/>
      <c r="D110" s="3424"/>
      <c r="E110" s="3424"/>
      <c r="F110" s="3424"/>
      <c r="G110" s="3424"/>
      <c r="H110" s="3424"/>
      <c r="I110" s="3424"/>
      <c r="J110" s="3424"/>
      <c r="K110" s="2448"/>
      <c r="L110" s="2448"/>
      <c r="M110" s="2448"/>
      <c r="N110" s="2448"/>
    </row>
    <row r="112" spans="1:14" ht="12.75" thickBot="1"/>
    <row r="113" spans="1:13" ht="25.5"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0" t="s">
        <v>1007</v>
      </c>
      <c r="B18" s="1153" t="s">
        <v>1446</v>
      </c>
      <c r="C18" s="1130" t="s">
        <v>1447</v>
      </c>
      <c r="D18" s="1131"/>
      <c r="E18" s="1153">
        <v>1</v>
      </c>
      <c r="F18" s="1132" t="s">
        <v>1448</v>
      </c>
      <c r="G18" s="1133"/>
      <c r="H18" s="1104"/>
      <c r="I18" s="1104"/>
    </row>
    <row r="19" spans="1:9" s="1598" customFormat="1" ht="19.5" customHeight="1">
      <c r="A19" s="3430"/>
      <c r="B19" s="3430" t="s">
        <v>1449</v>
      </c>
      <c r="C19" s="1130" t="s">
        <v>1450</v>
      </c>
      <c r="D19" s="1131"/>
      <c r="E19" s="1153">
        <v>0.9</v>
      </c>
      <c r="F19" s="1132" t="s">
        <v>1451</v>
      </c>
      <c r="G19" s="1133"/>
      <c r="H19" s="1104"/>
      <c r="I19" s="1104"/>
    </row>
    <row r="20" spans="1:9" s="1598" customFormat="1" ht="19.5" customHeight="1">
      <c r="A20" s="3430"/>
      <c r="B20" s="3430"/>
      <c r="C20" s="1130" t="s">
        <v>1452</v>
      </c>
      <c r="D20" s="1131"/>
      <c r="E20" s="1153">
        <v>1.1000000000000001</v>
      </c>
      <c r="F20" s="1132" t="s">
        <v>1453</v>
      </c>
      <c r="G20" s="1133"/>
      <c r="H20" s="1104"/>
      <c r="I20" s="1104"/>
    </row>
    <row r="21" spans="1:9" s="1598" customFormat="1" ht="19.5" customHeight="1">
      <c r="A21" s="3430"/>
      <c r="B21" s="3430"/>
      <c r="C21" s="1130" t="s">
        <v>1454</v>
      </c>
      <c r="D21" s="1131"/>
      <c r="E21" s="1153">
        <v>0.8</v>
      </c>
      <c r="F21" s="1132" t="s">
        <v>1455</v>
      </c>
      <c r="G21" s="1133"/>
      <c r="H21" s="1104"/>
      <c r="I21" s="1104"/>
    </row>
    <row r="22" spans="1:9" s="1598" customFormat="1" ht="19.5" customHeight="1">
      <c r="A22" s="3430"/>
      <c r="B22" s="3430"/>
      <c r="C22" s="1130" t="s">
        <v>1456</v>
      </c>
      <c r="D22" s="1131"/>
      <c r="E22" s="1153">
        <v>0.5</v>
      </c>
      <c r="F22" s="1132"/>
      <c r="G22" s="1133"/>
      <c r="H22" s="1104"/>
      <c r="I22" s="1104"/>
    </row>
    <row r="23" spans="1:9" s="1598" customFormat="1" ht="19.5" customHeight="1">
      <c r="A23" s="3430" t="s">
        <v>1029</v>
      </c>
      <c r="B23" s="1153" t="s">
        <v>1446</v>
      </c>
      <c r="C23" s="1130" t="s">
        <v>1457</v>
      </c>
      <c r="D23" s="1131"/>
      <c r="E23" s="1153">
        <v>1</v>
      </c>
      <c r="F23" s="1132" t="s">
        <v>1458</v>
      </c>
      <c r="G23" s="1133"/>
      <c r="H23" s="1104"/>
      <c r="I23" s="1104"/>
    </row>
    <row r="24" spans="1:9" s="1598" customFormat="1" ht="19.5" customHeight="1">
      <c r="A24" s="3430"/>
      <c r="B24" s="3430" t="s">
        <v>1449</v>
      </c>
      <c r="C24" s="1130" t="s">
        <v>1459</v>
      </c>
      <c r="D24" s="1131"/>
      <c r="E24" s="1153">
        <v>0.5</v>
      </c>
      <c r="F24" s="1132"/>
      <c r="G24" s="1133"/>
      <c r="H24" s="1104"/>
      <c r="I24" s="1104"/>
    </row>
    <row r="25" spans="1:9" s="1598" customFormat="1" ht="19.5" customHeight="1">
      <c r="A25" s="3430"/>
      <c r="B25" s="3430"/>
      <c r="C25" s="1130" t="s">
        <v>1460</v>
      </c>
      <c r="D25" s="1131"/>
      <c r="E25" s="1153">
        <v>1.1000000000000001</v>
      </c>
      <c r="F25" s="1132"/>
      <c r="G25" s="1133"/>
      <c r="H25" s="1104"/>
      <c r="I25" s="1104"/>
    </row>
    <row r="26" spans="1:9" s="1598" customFormat="1" ht="19.5" customHeight="1">
      <c r="A26" s="3430"/>
      <c r="B26" s="3430"/>
      <c r="C26" s="1130" t="s">
        <v>1461</v>
      </c>
      <c r="D26" s="1131"/>
      <c r="E26" s="1153">
        <v>1.1000000000000001</v>
      </c>
      <c r="F26" s="1132"/>
      <c r="G26" s="1133"/>
      <c r="H26" s="1104"/>
      <c r="I26" s="1104"/>
    </row>
    <row r="27" spans="1:9" s="1598" customFormat="1" ht="19.5" customHeight="1">
      <c r="A27" s="3430"/>
      <c r="B27" s="3430"/>
      <c r="C27" s="1130" t="s">
        <v>1462</v>
      </c>
      <c r="D27" s="1131"/>
      <c r="E27" s="1153">
        <v>0.9</v>
      </c>
      <c r="F27" s="1132" t="s">
        <v>1463</v>
      </c>
      <c r="G27" s="1133"/>
      <c r="H27" s="1104"/>
      <c r="I27" s="1104"/>
    </row>
    <row r="28" spans="1:9" s="1598" customFormat="1" ht="19.5" customHeight="1">
      <c r="A28" s="3430"/>
      <c r="B28" s="3430"/>
      <c r="C28" s="1130" t="s">
        <v>1464</v>
      </c>
      <c r="D28" s="1131"/>
      <c r="E28" s="1153">
        <v>0.9</v>
      </c>
      <c r="F28" s="1132" t="s">
        <v>1465</v>
      </c>
      <c r="G28" s="1133"/>
      <c r="H28" s="1104"/>
      <c r="I28" s="1104"/>
    </row>
    <row r="29" spans="1:9" s="1598" customFormat="1" ht="19.5" customHeight="1">
      <c r="A29" s="3430"/>
      <c r="B29" s="3430"/>
      <c r="C29" s="1130" t="s">
        <v>1466</v>
      </c>
      <c r="D29" s="1131"/>
      <c r="E29" s="1153">
        <v>0.9</v>
      </c>
      <c r="F29" s="1132" t="s">
        <v>1467</v>
      </c>
      <c r="G29" s="1133"/>
      <c r="H29" s="1104"/>
      <c r="I29" s="1104"/>
    </row>
    <row r="30" spans="1:9" s="1598" customFormat="1" ht="19.5" customHeight="1">
      <c r="A30" s="3430"/>
      <c r="B30" s="3430"/>
      <c r="C30" s="1130" t="s">
        <v>1468</v>
      </c>
      <c r="D30" s="1131"/>
      <c r="E30" s="1153">
        <v>0.9</v>
      </c>
      <c r="F30" s="1132" t="s">
        <v>1469</v>
      </c>
      <c r="G30" s="1133"/>
      <c r="H30" s="1104"/>
      <c r="I30" s="1104"/>
    </row>
    <row r="31" spans="1:9" s="1598" customFormat="1" ht="19.5" customHeight="1">
      <c r="A31" s="3430"/>
      <c r="B31" s="3430"/>
      <c r="C31" s="1130" t="s">
        <v>1470</v>
      </c>
      <c r="D31" s="1131"/>
      <c r="E31" s="1153">
        <v>0.8</v>
      </c>
      <c r="F31" s="1132" t="s">
        <v>1471</v>
      </c>
      <c r="G31" s="1133"/>
      <c r="H31" s="1104"/>
      <c r="I31" s="1104"/>
    </row>
    <row r="32" spans="1:9" s="1598" customFormat="1" ht="19.5" customHeight="1">
      <c r="A32" s="3430"/>
      <c r="B32" s="3430"/>
      <c r="C32" s="1130" t="s">
        <v>1472</v>
      </c>
      <c r="D32" s="1131"/>
      <c r="E32" s="1153">
        <v>0.8</v>
      </c>
      <c r="F32" s="1132" t="s">
        <v>1473</v>
      </c>
      <c r="G32" s="1133"/>
      <c r="H32" s="1104"/>
      <c r="I32" s="1104"/>
    </row>
    <row r="33" spans="1:9" s="1598" customFormat="1" ht="19.5" customHeight="1">
      <c r="A33" s="3430" t="s">
        <v>1474</v>
      </c>
      <c r="B33" s="1153" t="s">
        <v>1446</v>
      </c>
      <c r="C33" s="1130" t="s">
        <v>1475</v>
      </c>
      <c r="D33" s="1131"/>
      <c r="E33" s="1153">
        <v>1</v>
      </c>
      <c r="F33" s="1132" t="s">
        <v>1476</v>
      </c>
      <c r="G33" s="1133"/>
      <c r="H33" s="1104"/>
      <c r="I33" s="1104"/>
    </row>
    <row r="34" spans="1:9" s="1598" customFormat="1" ht="19.5" customHeight="1">
      <c r="A34" s="3430"/>
      <c r="B34" s="1153" t="s">
        <v>1449</v>
      </c>
      <c r="C34" s="1130" t="s">
        <v>1477</v>
      </c>
      <c r="D34" s="1131"/>
      <c r="E34" s="1153">
        <v>1.5</v>
      </c>
      <c r="F34" s="1132" t="s">
        <v>1478</v>
      </c>
      <c r="G34" s="1133"/>
      <c r="H34" s="1104"/>
      <c r="I34" s="1104"/>
    </row>
    <row r="35" spans="1:9" s="1598" customFormat="1" ht="19.5" customHeight="1">
      <c r="A35" s="3430" t="s">
        <v>1432</v>
      </c>
      <c r="B35" s="1153" t="s">
        <v>1446</v>
      </c>
      <c r="C35" s="1130" t="s">
        <v>1479</v>
      </c>
      <c r="D35" s="1131"/>
      <c r="E35" s="1153">
        <v>1</v>
      </c>
      <c r="F35" s="1132" t="s">
        <v>1480</v>
      </c>
      <c r="G35" s="1133"/>
      <c r="H35" s="1104"/>
      <c r="I35" s="1104"/>
    </row>
    <row r="36" spans="1:9" s="1598" customFormat="1" ht="19.5" customHeight="1">
      <c r="A36" s="3430"/>
      <c r="B36" s="3430" t="s">
        <v>1449</v>
      </c>
      <c r="C36" s="1130" t="s">
        <v>1481</v>
      </c>
      <c r="D36" s="1131"/>
      <c r="E36" s="1153">
        <v>1</v>
      </c>
      <c r="F36" s="1132" t="s">
        <v>1482</v>
      </c>
      <c r="G36" s="1133"/>
      <c r="H36" s="1104"/>
      <c r="I36" s="1104"/>
    </row>
    <row r="37" spans="1:9" s="1598" customFormat="1" ht="19.5" customHeight="1">
      <c r="A37" s="3430"/>
      <c r="B37" s="3430"/>
      <c r="C37" s="1130" t="s">
        <v>1483</v>
      </c>
      <c r="D37" s="1131"/>
      <c r="E37" s="1153">
        <v>1.5</v>
      </c>
      <c r="F37" s="1132" t="s">
        <v>1484</v>
      </c>
      <c r="G37" s="1133"/>
      <c r="H37" s="1104"/>
      <c r="I37" s="1104"/>
    </row>
    <row r="38" spans="1:9" s="1598" customFormat="1" ht="19.5" customHeight="1">
      <c r="A38" s="3430"/>
      <c r="B38" s="3430"/>
      <c r="C38" s="1130" t="s">
        <v>1485</v>
      </c>
      <c r="D38" s="1131"/>
      <c r="E38" s="1153">
        <v>1</v>
      </c>
      <c r="F38" s="1132" t="s">
        <v>1486</v>
      </c>
      <c r="G38" s="1133"/>
      <c r="H38" s="1104"/>
      <c r="I38" s="1104"/>
    </row>
    <row r="39" spans="1:9" s="1598" customFormat="1" ht="19.5" customHeight="1">
      <c r="A39" s="3430"/>
      <c r="B39" s="343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0" t="s">
        <v>1501</v>
      </c>
      <c r="C61" s="1067" t="s">
        <v>1502</v>
      </c>
      <c r="D61" s="1067" t="s">
        <v>1503</v>
      </c>
      <c r="E61" s="1138">
        <v>0.5</v>
      </c>
      <c r="F61" s="1153">
        <v>80</v>
      </c>
      <c r="H61" s="1104">
        <f>SUMIF(C59:C119,基准地价!C8,E59:E119)</f>
        <v>0</v>
      </c>
    </row>
    <row r="62" spans="1:8" s="1104" customFormat="1" ht="24">
      <c r="A62" s="1153">
        <v>2</v>
      </c>
      <c r="B62" s="3430"/>
      <c r="C62" s="1067" t="s">
        <v>1504</v>
      </c>
      <c r="D62" s="1067" t="s">
        <v>1505</v>
      </c>
      <c r="E62" s="1138">
        <v>0.5</v>
      </c>
      <c r="F62" s="1153">
        <v>80</v>
      </c>
    </row>
    <row r="63" spans="1:8" s="1104" customFormat="1" ht="36">
      <c r="A63" s="1153">
        <v>3</v>
      </c>
      <c r="B63" s="3430"/>
      <c r="C63" s="1067" t="s">
        <v>1506</v>
      </c>
      <c r="D63" s="1067" t="s">
        <v>1507</v>
      </c>
      <c r="E63" s="1138">
        <v>0.5</v>
      </c>
      <c r="F63" s="1153">
        <v>80</v>
      </c>
    </row>
    <row r="64" spans="1:8" s="1104" customFormat="1" ht="36">
      <c r="A64" s="1153">
        <v>4</v>
      </c>
      <c r="B64" s="3430"/>
      <c r="C64" s="1067" t="s">
        <v>1508</v>
      </c>
      <c r="D64" s="1067" t="s">
        <v>1509</v>
      </c>
      <c r="E64" s="1138">
        <v>0.4</v>
      </c>
      <c r="F64" s="1153">
        <v>60</v>
      </c>
    </row>
    <row r="65" spans="1:6" s="1104" customFormat="1" ht="36">
      <c r="A65" s="1153">
        <v>5</v>
      </c>
      <c r="B65" s="3430"/>
      <c r="C65" s="1067" t="s">
        <v>1510</v>
      </c>
      <c r="D65" s="1067" t="s">
        <v>1511</v>
      </c>
      <c r="E65" s="1138">
        <v>0.2</v>
      </c>
      <c r="F65" s="1153">
        <v>30</v>
      </c>
    </row>
    <row r="66" spans="1:6" s="1104" customFormat="1" ht="36">
      <c r="A66" s="1153">
        <v>6</v>
      </c>
      <c r="B66" s="3430"/>
      <c r="C66" s="1067" t="s">
        <v>1512</v>
      </c>
      <c r="D66" s="1067" t="s">
        <v>1513</v>
      </c>
      <c r="E66" s="1138">
        <v>0.3</v>
      </c>
      <c r="F66" s="1153">
        <v>50</v>
      </c>
    </row>
    <row r="67" spans="1:6" s="1104" customFormat="1" ht="36">
      <c r="A67" s="1153">
        <v>7</v>
      </c>
      <c r="B67" s="3430"/>
      <c r="C67" s="1067" t="s">
        <v>1514</v>
      </c>
      <c r="D67" s="1067" t="s">
        <v>1515</v>
      </c>
      <c r="E67" s="1138">
        <v>0.2</v>
      </c>
      <c r="F67" s="1153">
        <v>30</v>
      </c>
    </row>
    <row r="68" spans="1:6" s="1104" customFormat="1" ht="36">
      <c r="A68" s="1153">
        <v>8</v>
      </c>
      <c r="B68" s="3430"/>
      <c r="C68" s="1067" t="s">
        <v>1516</v>
      </c>
      <c r="D68" s="1067" t="s">
        <v>1517</v>
      </c>
      <c r="E68" s="1138">
        <v>0.2</v>
      </c>
      <c r="F68" s="1153">
        <v>30</v>
      </c>
    </row>
    <row r="69" spans="1:6" s="1104" customFormat="1" ht="36">
      <c r="A69" s="1153">
        <v>9</v>
      </c>
      <c r="B69" s="3430"/>
      <c r="C69" s="1067" t="s">
        <v>1518</v>
      </c>
      <c r="D69" s="1067" t="s">
        <v>1519</v>
      </c>
      <c r="E69" s="1138">
        <v>0.2</v>
      </c>
      <c r="F69" s="1153">
        <v>30</v>
      </c>
    </row>
    <row r="70" spans="1:6" s="1104" customFormat="1" ht="48">
      <c r="A70" s="1153">
        <v>10</v>
      </c>
      <c r="B70" s="3430"/>
      <c r="C70" s="1067" t="s">
        <v>1520</v>
      </c>
      <c r="D70" s="1067" t="s">
        <v>1521</v>
      </c>
      <c r="E70" s="1138">
        <v>0.2</v>
      </c>
      <c r="F70" s="1153">
        <v>30</v>
      </c>
    </row>
    <row r="71" spans="1:6" s="1104" customFormat="1" ht="48">
      <c r="A71" s="1153">
        <v>11</v>
      </c>
      <c r="B71" s="3430"/>
      <c r="C71" s="1067" t="s">
        <v>1522</v>
      </c>
      <c r="D71" s="1067" t="s">
        <v>1523</v>
      </c>
      <c r="E71" s="1138">
        <v>0.2</v>
      </c>
      <c r="F71" s="1153">
        <v>30</v>
      </c>
    </row>
    <row r="72" spans="1:6" s="1104" customFormat="1" ht="36">
      <c r="A72" s="1153">
        <v>12</v>
      </c>
      <c r="B72" s="3430"/>
      <c r="C72" s="1067" t="s">
        <v>1524</v>
      </c>
      <c r="D72" s="1067" t="s">
        <v>1525</v>
      </c>
      <c r="E72" s="1138">
        <v>0.5</v>
      </c>
      <c r="F72" s="1153">
        <v>80</v>
      </c>
    </row>
    <row r="73" spans="1:6" s="1104" customFormat="1" ht="24">
      <c r="A73" s="1153">
        <v>13</v>
      </c>
      <c r="B73" s="3430"/>
      <c r="C73" s="1067" t="s">
        <v>1526</v>
      </c>
      <c r="D73" s="1067" t="s">
        <v>1527</v>
      </c>
      <c r="E73" s="1138">
        <v>0.4</v>
      </c>
      <c r="F73" s="1153">
        <v>60</v>
      </c>
    </row>
    <row r="74" spans="1:6" s="1104" customFormat="1" ht="24">
      <c r="A74" s="1153">
        <v>14</v>
      </c>
      <c r="B74" s="3430"/>
      <c r="C74" s="1067" t="s">
        <v>1528</v>
      </c>
      <c r="D74" s="1067" t="s">
        <v>1529</v>
      </c>
      <c r="E74" s="1138">
        <v>0.2</v>
      </c>
      <c r="F74" s="1153">
        <v>30</v>
      </c>
    </row>
    <row r="75" spans="1:6" s="1104" customFormat="1" ht="24">
      <c r="A75" s="1153">
        <v>15</v>
      </c>
      <c r="B75" s="3430"/>
      <c r="C75" s="1067" t="s">
        <v>1530</v>
      </c>
      <c r="D75" s="1067" t="s">
        <v>1531</v>
      </c>
      <c r="E75" s="1138">
        <v>0.2</v>
      </c>
      <c r="F75" s="1153">
        <v>30</v>
      </c>
    </row>
    <row r="76" spans="1:6" s="1104" customFormat="1" ht="24">
      <c r="A76" s="1153">
        <v>16</v>
      </c>
      <c r="B76" s="3430" t="s">
        <v>1532</v>
      </c>
      <c r="C76" s="1067" t="s">
        <v>1533</v>
      </c>
      <c r="D76" s="1067" t="s">
        <v>1534</v>
      </c>
      <c r="E76" s="1138">
        <v>0.5</v>
      </c>
      <c r="F76" s="1153">
        <v>80</v>
      </c>
    </row>
    <row r="77" spans="1:6" s="1104" customFormat="1" ht="24">
      <c r="A77" s="1153">
        <v>17</v>
      </c>
      <c r="B77" s="3430"/>
      <c r="C77" s="1067" t="s">
        <v>1535</v>
      </c>
      <c r="D77" s="1067" t="s">
        <v>1536</v>
      </c>
      <c r="E77" s="1138">
        <v>0.5</v>
      </c>
      <c r="F77" s="1153">
        <v>80</v>
      </c>
    </row>
    <row r="78" spans="1:6" s="1104" customFormat="1" ht="24">
      <c r="A78" s="1153">
        <v>18</v>
      </c>
      <c r="B78" s="3430"/>
      <c r="C78" s="1067" t="s">
        <v>1537</v>
      </c>
      <c r="D78" s="1067" t="s">
        <v>1538</v>
      </c>
      <c r="E78" s="1138">
        <v>0.2</v>
      </c>
      <c r="F78" s="1153">
        <v>30</v>
      </c>
    </row>
    <row r="79" spans="1:6" s="1104" customFormat="1" ht="24">
      <c r="A79" s="1153">
        <v>19</v>
      </c>
      <c r="B79" s="3430"/>
      <c r="C79" s="1067" t="s">
        <v>1539</v>
      </c>
      <c r="D79" s="1067" t="s">
        <v>1540</v>
      </c>
      <c r="E79" s="1138">
        <v>0.5</v>
      </c>
      <c r="F79" s="1153">
        <v>80</v>
      </c>
    </row>
    <row r="80" spans="1:6" s="1104" customFormat="1" ht="36">
      <c r="A80" s="1153">
        <v>20</v>
      </c>
      <c r="B80" s="3430"/>
      <c r="C80" s="1067" t="s">
        <v>1541</v>
      </c>
      <c r="D80" s="1067" t="s">
        <v>1542</v>
      </c>
      <c r="E80" s="1138">
        <v>0.2</v>
      </c>
      <c r="F80" s="1153">
        <v>30</v>
      </c>
    </row>
    <row r="81" spans="1:6" s="1104" customFormat="1" ht="36">
      <c r="A81" s="1153">
        <v>21</v>
      </c>
      <c r="B81" s="3430"/>
      <c r="C81" s="1067" t="s">
        <v>1543</v>
      </c>
      <c r="D81" s="1067" t="s">
        <v>1544</v>
      </c>
      <c r="E81" s="1138">
        <v>0.2</v>
      </c>
      <c r="F81" s="1153">
        <v>30</v>
      </c>
    </row>
    <row r="82" spans="1:6" s="1104" customFormat="1" ht="48">
      <c r="A82" s="1153">
        <v>22</v>
      </c>
      <c r="B82" s="3430"/>
      <c r="C82" s="1067" t="s">
        <v>1545</v>
      </c>
      <c r="D82" s="1067" t="s">
        <v>1546</v>
      </c>
      <c r="E82" s="1138">
        <v>0.2</v>
      </c>
      <c r="F82" s="1153">
        <v>30</v>
      </c>
    </row>
    <row r="83" spans="1:6" s="1104" customFormat="1" ht="48">
      <c r="A83" s="1153">
        <v>23</v>
      </c>
      <c r="B83" s="3430"/>
      <c r="C83" s="1067" t="s">
        <v>1547</v>
      </c>
      <c r="D83" s="1067" t="s">
        <v>1548</v>
      </c>
      <c r="E83" s="1138">
        <v>0.2</v>
      </c>
      <c r="F83" s="1153">
        <v>30</v>
      </c>
    </row>
    <row r="84" spans="1:6" s="1104" customFormat="1" ht="36">
      <c r="A84" s="1153">
        <v>24</v>
      </c>
      <c r="B84" s="3430"/>
      <c r="C84" s="1067" t="s">
        <v>1549</v>
      </c>
      <c r="D84" s="1067" t="s">
        <v>1550</v>
      </c>
      <c r="E84" s="1138">
        <v>0.2</v>
      </c>
      <c r="F84" s="1153">
        <v>30</v>
      </c>
    </row>
    <row r="85" spans="1:6" s="1104" customFormat="1" ht="36">
      <c r="A85" s="1153">
        <v>25</v>
      </c>
      <c r="B85" s="3430"/>
      <c r="C85" s="1067" t="s">
        <v>1551</v>
      </c>
      <c r="D85" s="1067" t="s">
        <v>1552</v>
      </c>
      <c r="E85" s="1138">
        <v>0.5</v>
      </c>
      <c r="F85" s="1153">
        <v>80</v>
      </c>
    </row>
    <row r="86" spans="1:6" s="1104" customFormat="1" ht="36">
      <c r="A86" s="1153">
        <v>26</v>
      </c>
      <c r="B86" s="3430"/>
      <c r="C86" s="1067" t="s">
        <v>1553</v>
      </c>
      <c r="D86" s="1067" t="s">
        <v>1554</v>
      </c>
      <c r="E86" s="1138">
        <v>0.2</v>
      </c>
      <c r="F86" s="1153">
        <v>30</v>
      </c>
    </row>
    <row r="87" spans="1:6" s="1104" customFormat="1" ht="36">
      <c r="A87" s="1153">
        <v>27</v>
      </c>
      <c r="B87" s="3430"/>
      <c r="C87" s="1067" t="s">
        <v>1555</v>
      </c>
      <c r="D87" s="1067" t="s">
        <v>1556</v>
      </c>
      <c r="E87" s="1138">
        <v>0.2</v>
      </c>
      <c r="F87" s="1153">
        <v>30</v>
      </c>
    </row>
    <row r="88" spans="1:6" s="1104" customFormat="1" ht="36">
      <c r="A88" s="1153">
        <v>28</v>
      </c>
      <c r="B88" s="3430"/>
      <c r="C88" s="1067" t="s">
        <v>1557</v>
      </c>
      <c r="D88" s="1067" t="s">
        <v>1558</v>
      </c>
      <c r="E88" s="1138">
        <v>0.2</v>
      </c>
      <c r="F88" s="1153">
        <v>30</v>
      </c>
    </row>
    <row r="89" spans="1:6" s="1104" customFormat="1" ht="24">
      <c r="A89" s="1153">
        <v>29</v>
      </c>
      <c r="B89" s="3430"/>
      <c r="C89" s="1067" t="s">
        <v>1559</v>
      </c>
      <c r="D89" s="1067" t="s">
        <v>1560</v>
      </c>
      <c r="E89" s="1138">
        <v>0.2</v>
      </c>
      <c r="F89" s="1153">
        <v>30</v>
      </c>
    </row>
    <row r="90" spans="1:6" s="1104" customFormat="1" ht="24">
      <c r="A90" s="1153">
        <v>30</v>
      </c>
      <c r="B90" s="3430"/>
      <c r="C90" s="1067" t="s">
        <v>1561</v>
      </c>
      <c r="D90" s="1067" t="s">
        <v>1562</v>
      </c>
      <c r="E90" s="1138">
        <v>0.2</v>
      </c>
      <c r="F90" s="1153">
        <v>30</v>
      </c>
    </row>
    <row r="91" spans="1:6" s="1104" customFormat="1" ht="36">
      <c r="A91" s="1153">
        <v>31</v>
      </c>
      <c r="B91" s="3430"/>
      <c r="C91" s="1067" t="s">
        <v>1563</v>
      </c>
      <c r="D91" s="1067" t="s">
        <v>1564</v>
      </c>
      <c r="E91" s="1138">
        <v>0.2</v>
      </c>
      <c r="F91" s="1153">
        <v>30</v>
      </c>
    </row>
    <row r="92" spans="1:6" s="1104" customFormat="1" ht="24">
      <c r="A92" s="1153">
        <v>32</v>
      </c>
      <c r="B92" s="3430" t="s">
        <v>1565</v>
      </c>
      <c r="C92" s="1153" t="s">
        <v>1566</v>
      </c>
      <c r="D92" s="1067" t="s">
        <v>1567</v>
      </c>
      <c r="E92" s="1138">
        <v>0.2</v>
      </c>
      <c r="F92" s="1153">
        <v>30</v>
      </c>
    </row>
    <row r="93" spans="1:6" s="1104" customFormat="1" ht="36">
      <c r="A93" s="1153">
        <v>33</v>
      </c>
      <c r="B93" s="3430"/>
      <c r="C93" s="1153" t="s">
        <v>1568</v>
      </c>
      <c r="D93" s="1067" t="s">
        <v>1569</v>
      </c>
      <c r="E93" s="1138">
        <v>0.2</v>
      </c>
      <c r="F93" s="1153">
        <v>30</v>
      </c>
    </row>
    <row r="94" spans="1:6" s="1104" customFormat="1" ht="48">
      <c r="A94" s="1153">
        <v>34</v>
      </c>
      <c r="B94" s="3430"/>
      <c r="C94" s="1153" t="s">
        <v>1570</v>
      </c>
      <c r="D94" s="1067" t="s">
        <v>1571</v>
      </c>
      <c r="E94" s="1138">
        <v>0.2</v>
      </c>
      <c r="F94" s="1153">
        <v>30</v>
      </c>
    </row>
    <row r="95" spans="1:6" s="1104" customFormat="1" ht="36">
      <c r="A95" s="1153">
        <v>35</v>
      </c>
      <c r="B95" s="3430"/>
      <c r="C95" s="1153" t="s">
        <v>1572</v>
      </c>
      <c r="D95" s="1067" t="s">
        <v>1573</v>
      </c>
      <c r="E95" s="1138">
        <v>0.2</v>
      </c>
      <c r="F95" s="1153">
        <v>30</v>
      </c>
    </row>
    <row r="96" spans="1:6" s="1104" customFormat="1" ht="48">
      <c r="A96" s="1153">
        <v>36</v>
      </c>
      <c r="B96" s="3430"/>
      <c r="C96" s="1067" t="s">
        <v>1574</v>
      </c>
      <c r="D96" s="1067" t="s">
        <v>1575</v>
      </c>
      <c r="E96" s="1138">
        <v>0.2</v>
      </c>
      <c r="F96" s="1153">
        <v>30</v>
      </c>
    </row>
    <row r="97" spans="1:6" s="1104" customFormat="1" ht="36">
      <c r="A97" s="1153">
        <v>37</v>
      </c>
      <c r="B97" s="3430"/>
      <c r="C97" s="1153" t="s">
        <v>1576</v>
      </c>
      <c r="D97" s="1067" t="s">
        <v>1577</v>
      </c>
      <c r="E97" s="1138">
        <v>0.2</v>
      </c>
      <c r="F97" s="1153">
        <v>30</v>
      </c>
    </row>
    <row r="98" spans="1:6" s="1104" customFormat="1" ht="36">
      <c r="A98" s="1153">
        <v>38</v>
      </c>
      <c r="B98" s="3430"/>
      <c r="C98" s="1153" t="s">
        <v>1578</v>
      </c>
      <c r="D98" s="1067" t="s">
        <v>1579</v>
      </c>
      <c r="E98" s="1138">
        <v>0.2</v>
      </c>
      <c r="F98" s="1153">
        <v>30</v>
      </c>
    </row>
    <row r="99" spans="1:6" s="1104" customFormat="1" ht="36">
      <c r="A99" s="1153">
        <v>39</v>
      </c>
      <c r="B99" s="3430" t="s">
        <v>1580</v>
      </c>
      <c r="C99" s="1153" t="s">
        <v>1581</v>
      </c>
      <c r="D99" s="1067" t="s">
        <v>1582</v>
      </c>
      <c r="E99" s="1138">
        <v>0.3</v>
      </c>
      <c r="F99" s="1153">
        <v>50</v>
      </c>
    </row>
    <row r="100" spans="1:6" s="1104" customFormat="1" ht="24">
      <c r="A100" s="1153">
        <v>40</v>
      </c>
      <c r="B100" s="3430"/>
      <c r="C100" s="1153" t="s">
        <v>1583</v>
      </c>
      <c r="D100" s="1067" t="s">
        <v>1584</v>
      </c>
      <c r="E100" s="1138">
        <v>0.2</v>
      </c>
      <c r="F100" s="1153">
        <v>30</v>
      </c>
    </row>
    <row r="101" spans="1:6" s="1104" customFormat="1" ht="36">
      <c r="A101" s="1153">
        <v>41</v>
      </c>
      <c r="B101" s="343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0" t="s">
        <v>1595</v>
      </c>
      <c r="C105" s="1153" t="s">
        <v>1596</v>
      </c>
      <c r="D105" s="1067" t="s">
        <v>1597</v>
      </c>
      <c r="E105" s="1138">
        <v>0.2</v>
      </c>
      <c r="F105" s="1153">
        <v>30</v>
      </c>
    </row>
    <row r="106" spans="1:6" s="1104" customFormat="1" ht="36">
      <c r="A106" s="1153">
        <v>46</v>
      </c>
      <c r="B106" s="3430"/>
      <c r="C106" s="1153" t="s">
        <v>1598</v>
      </c>
      <c r="D106" s="1067" t="s">
        <v>1599</v>
      </c>
      <c r="E106" s="1138">
        <v>0.2</v>
      </c>
      <c r="F106" s="1153">
        <v>30</v>
      </c>
    </row>
    <row r="107" spans="1:6" s="1104" customFormat="1" ht="36">
      <c r="A107" s="1153">
        <v>47</v>
      </c>
      <c r="B107" s="3430" t="s">
        <v>1600</v>
      </c>
      <c r="C107" s="1153" t="s">
        <v>1601</v>
      </c>
      <c r="D107" s="1067" t="s">
        <v>1602</v>
      </c>
      <c r="E107" s="1138">
        <v>0.3</v>
      </c>
      <c r="F107" s="1153">
        <v>50</v>
      </c>
    </row>
    <row r="108" spans="1:6" s="1104" customFormat="1" ht="36">
      <c r="A108" s="1153">
        <v>48</v>
      </c>
      <c r="B108" s="343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0" t="s">
        <v>1611</v>
      </c>
      <c r="C111" s="1153" t="s">
        <v>1612</v>
      </c>
      <c r="D111" s="1067" t="s">
        <v>1613</v>
      </c>
      <c r="E111" s="1138">
        <v>0.2</v>
      </c>
      <c r="F111" s="1153">
        <v>30</v>
      </c>
    </row>
    <row r="112" spans="1:6" s="1104" customFormat="1" ht="24">
      <c r="A112" s="1153">
        <v>52</v>
      </c>
      <c r="B112" s="3430"/>
      <c r="C112" s="1153" t="s">
        <v>1614</v>
      </c>
      <c r="D112" s="1067" t="s">
        <v>1615</v>
      </c>
      <c r="E112" s="1138">
        <v>0.2</v>
      </c>
      <c r="F112" s="1153">
        <v>30</v>
      </c>
    </row>
    <row r="113" spans="1:14" s="1104" customFormat="1" ht="24">
      <c r="A113" s="1153">
        <v>53</v>
      </c>
      <c r="B113" s="343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0" t="s">
        <v>1624</v>
      </c>
      <c r="C116" s="1153" t="s">
        <v>1625</v>
      </c>
      <c r="D116" s="1067" t="s">
        <v>1626</v>
      </c>
      <c r="E116" s="1138">
        <v>0.2</v>
      </c>
      <c r="F116" s="1153">
        <v>30</v>
      </c>
    </row>
    <row r="117" spans="1:14" ht="36">
      <c r="A117" s="1153">
        <v>57</v>
      </c>
      <c r="B117" s="343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9" t="s">
        <v>1633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2081</v>
      </c>
      <c r="B1" s="3446"/>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8" t="s">
        <v>2465</v>
      </c>
      <c r="C8" s="1825">
        <f ca="1">ROUND(F8*F10*F9*(1-F11)/10000,0)</f>
        <v>0</v>
      </c>
      <c r="D8" s="1822" t="s">
        <v>2536</v>
      </c>
      <c r="E8" s="61" t="s">
        <v>636</v>
      </c>
      <c r="F8" s="785">
        <f ca="1">INDIRECT("'数据-取费表'!u"&amp;$G$1)</f>
        <v>0</v>
      </c>
      <c r="G8" s="1591"/>
      <c r="H8" s="2504" t="s">
        <v>1824</v>
      </c>
      <c r="I8" s="3448" t="s">
        <v>2465</v>
      </c>
      <c r="J8" s="783">
        <f ca="1">ROUND(M8*M10*M9*(1-M11)/10000,0)</f>
        <v>0</v>
      </c>
      <c r="K8" s="341" t="s">
        <v>2536</v>
      </c>
      <c r="L8" s="784" t="s">
        <v>1738</v>
      </c>
      <c r="M8" s="785">
        <f ca="1">INDIRECT("'数据-取费表'!z"&amp;$G$1)</f>
        <v>0</v>
      </c>
    </row>
    <row r="9" spans="1:25" ht="18" customHeight="1">
      <c r="A9" s="2500"/>
      <c r="B9" s="3449"/>
      <c r="C9" s="1826"/>
      <c r="D9" s="1823"/>
      <c r="E9" s="61" t="s">
        <v>637</v>
      </c>
      <c r="F9" s="785">
        <f ca="1">IF(INDIRECT("'数据-取费表'!ah"&amp;$G$1)="",INDIRECT("'数据-取费表'!k"&amp;$G$1),INDIRECT("'数据-取费表'!ah"&amp;$G$1))</f>
        <v>0</v>
      </c>
      <c r="G9" s="1591"/>
      <c r="H9" s="2489"/>
      <c r="I9" s="3449"/>
      <c r="J9" s="788"/>
      <c r="K9" s="789"/>
      <c r="L9" s="784" t="s">
        <v>1739</v>
      </c>
      <c r="M9" s="785">
        <f ca="1">F9</f>
        <v>0</v>
      </c>
    </row>
    <row r="10" spans="1:25" ht="18" customHeight="1">
      <c r="A10" s="2493"/>
      <c r="B10" s="3450"/>
      <c r="C10" s="1826"/>
      <c r="D10" s="1823"/>
      <c r="E10" s="61" t="s">
        <v>638</v>
      </c>
      <c r="F10" s="785">
        <f ca="1">INDIRECT("'数据-取费表'!ai"&amp;$G$1)</f>
        <v>0</v>
      </c>
      <c r="G10" s="1591"/>
      <c r="H10" s="2489"/>
      <c r="I10" s="3450"/>
      <c r="J10" s="788"/>
      <c r="K10" s="789"/>
      <c r="L10" s="784" t="s">
        <v>1740</v>
      </c>
      <c r="M10" s="785">
        <f ca="1">INDIRECT("'数据-取费表'!ai"&amp;$G$1)</f>
        <v>0</v>
      </c>
    </row>
    <row r="11" spans="1:25" ht="18" customHeight="1">
      <c r="A11" s="786"/>
      <c r="B11" s="3451"/>
      <c r="C11" s="1826"/>
      <c r="D11" s="1823"/>
      <c r="E11" s="61" t="s">
        <v>639</v>
      </c>
      <c r="F11" s="794">
        <f ca="1">INDIRECT("'数据-取费表'!w"&amp;$G$1)</f>
        <v>0</v>
      </c>
      <c r="G11" s="1591"/>
      <c r="H11" s="2505"/>
      <c r="I11" s="3450"/>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47"/>
      <c r="J36" s="2079"/>
      <c r="K36" s="2080"/>
      <c r="L36" s="2079"/>
      <c r="M36" s="2079"/>
    </row>
    <row r="37" spans="1:18" ht="18" customHeight="1">
      <c r="A37" s="815"/>
      <c r="B37" s="793"/>
      <c r="C37" s="69"/>
      <c r="D37" s="816"/>
      <c r="E37" s="784" t="s">
        <v>673</v>
      </c>
      <c r="F37" s="785">
        <f ca="1">INDIRECT("'数据-取费表'!r"&amp;$G$1)</f>
        <v>0</v>
      </c>
      <c r="G37" s="2062"/>
      <c r="H37" s="2065"/>
      <c r="I37" s="3447"/>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-3</v>
      </c>
      <c r="K54" s="3452"/>
      <c r="L54" s="3453"/>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6" t="s">
        <v>2578</v>
      </c>
      <c r="C1" s="3456"/>
      <c r="D1" s="3456"/>
      <c r="E1" s="3456"/>
      <c r="F1" s="3456"/>
      <c r="G1" s="3455" t="s">
        <v>2579</v>
      </c>
      <c r="H1" s="3455"/>
      <c r="I1" s="3455"/>
      <c r="J1" s="3455"/>
      <c r="K1" s="3455"/>
      <c r="L1" s="3455"/>
      <c r="N1" s="3455" t="s">
        <v>2580</v>
      </c>
      <c r="O1" s="3455"/>
      <c r="P1" s="3455"/>
      <c r="Q1" s="3455"/>
      <c r="R1" s="2654"/>
      <c r="S1" s="3455" t="s">
        <v>2581</v>
      </c>
      <c r="T1" s="3455"/>
      <c r="U1" s="3455"/>
      <c r="V1" s="3455"/>
      <c r="X1" s="3454" t="s">
        <v>2641</v>
      </c>
      <c r="Y1" s="3455"/>
      <c r="Z1" s="3455"/>
      <c r="AA1" s="3455"/>
      <c r="AB1" s="3455"/>
      <c r="AD1" s="3454" t="s">
        <v>2645</v>
      </c>
      <c r="AE1" s="3455"/>
      <c r="AF1" s="3455"/>
      <c r="AG1" s="3455"/>
      <c r="AH1" s="3455"/>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6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6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7">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8">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8">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9">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7">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8">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8">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9">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5" zoomScale="70" zoomScaleNormal="70" workbookViewId="0">
      <selection activeCell="D45" sqref="D4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3166</v>
      </c>
      <c r="D1" s="3126" t="s">
        <v>3150</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538</v>
      </c>
      <c r="C2" s="2057"/>
      <c r="D2" s="2055"/>
      <c r="E2" s="2056"/>
      <c r="F2" s="2056"/>
      <c r="G2" s="1589"/>
      <c r="H2" s="2057"/>
      <c r="I2" s="2057"/>
      <c r="J2" s="2057"/>
      <c r="K2" s="2058"/>
      <c r="L2" s="2057"/>
      <c r="M2" s="2057"/>
    </row>
    <row r="3" spans="1:33" ht="18" customHeight="1" thickBot="1">
      <c r="A3" s="833" t="s">
        <v>1727</v>
      </c>
      <c r="B3" s="834">
        <f ca="1">IF(ISERROR(B2*10000/F43),0,ROUND(B2*10000/F43,0))</f>
        <v>6776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42</v>
      </c>
      <c r="D5" s="2496" t="s">
        <v>2463</v>
      </c>
      <c r="E5" s="2490"/>
      <c r="F5" s="2491"/>
      <c r="G5" s="1591"/>
      <c r="H5" s="781">
        <v>1</v>
      </c>
      <c r="I5" s="782" t="s">
        <v>2460</v>
      </c>
      <c r="J5" s="55">
        <f ca="1">J6+J10+J12</f>
        <v>0</v>
      </c>
      <c r="K5" s="2496" t="s">
        <v>2463</v>
      </c>
      <c r="L5" s="2490"/>
      <c r="M5" s="2491"/>
    </row>
    <row r="6" spans="1:33" ht="18" customHeight="1">
      <c r="A6" s="1830" t="s">
        <v>1824</v>
      </c>
      <c r="B6" s="3448" t="s">
        <v>2465</v>
      </c>
      <c r="C6" s="783">
        <f ca="1">ROUND(F6*F8*F7*(1-F9)/10000,0)</f>
        <v>42</v>
      </c>
      <c r="D6" s="2497" t="s">
        <v>2464</v>
      </c>
      <c r="E6" s="784" t="s">
        <v>1738</v>
      </c>
      <c r="F6" s="785">
        <f ca="1">INDIRECT("'数据-取费表'!u"&amp;$G$1)</f>
        <v>1.7</v>
      </c>
      <c r="G6" s="1591"/>
      <c r="H6" s="2504" t="s">
        <v>2470</v>
      </c>
      <c r="I6" s="3448" t="s">
        <v>2465</v>
      </c>
      <c r="J6" s="783">
        <f ca="1">ROUND(M6*M8*M7*(1-M9)/10000,0)</f>
        <v>0</v>
      </c>
      <c r="K6" s="341" t="s">
        <v>1737</v>
      </c>
      <c r="L6" s="784" t="s">
        <v>1738</v>
      </c>
      <c r="M6" s="785">
        <f ca="1">INDIRECT("'数据-取费表'!z"&amp;$G$1)</f>
        <v>0</v>
      </c>
    </row>
    <row r="7" spans="1:33" ht="18" customHeight="1">
      <c r="A7" s="2500"/>
      <c r="B7" s="3449"/>
      <c r="C7" s="788"/>
      <c r="D7" s="789"/>
      <c r="E7" s="784" t="s">
        <v>1739</v>
      </c>
      <c r="F7" s="785">
        <f ca="1">IF(INDIRECT("'数据-取费表'!ah"&amp;$G$1)="",INDIRECT("'数据-取费表'!k"&amp;$G$1),INDIRECT("'数据-取费表'!ah"&amp;$G$1))</f>
        <v>794</v>
      </c>
      <c r="G7" s="1591"/>
      <c r="H7" s="2489"/>
      <c r="I7" s="3449"/>
      <c r="J7" s="788"/>
      <c r="K7" s="789"/>
      <c r="L7" s="784" t="s">
        <v>1739</v>
      </c>
      <c r="M7" s="785">
        <f ca="1">F7</f>
        <v>794</v>
      </c>
    </row>
    <row r="8" spans="1:33" ht="18" customHeight="1">
      <c r="A8" s="2493"/>
      <c r="B8" s="3450"/>
      <c r="C8" s="788"/>
      <c r="D8" s="789"/>
      <c r="E8" s="784" t="s">
        <v>1740</v>
      </c>
      <c r="F8" s="785">
        <f ca="1">INDIRECT("'数据-取费表'!ai"&amp;$G$1)</f>
        <v>365</v>
      </c>
      <c r="G8" s="1591"/>
      <c r="H8" s="2489"/>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91"/>
      <c r="H9" s="2505"/>
      <c r="I9" s="3450"/>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346</v>
      </c>
      <c r="D13" s="1834" t="s">
        <v>2299</v>
      </c>
      <c r="E13" s="1834" t="s">
        <v>1744</v>
      </c>
      <c r="F13" s="2536">
        <f ca="1">INDIRECT("'数据-取费表'!y"&amp;$G$1)</f>
        <v>1</v>
      </c>
      <c r="G13" s="1591"/>
      <c r="H13" s="1829">
        <v>2</v>
      </c>
      <c r="I13" s="1827" t="s">
        <v>1742</v>
      </c>
      <c r="J13" s="1819">
        <f ca="1">ROUND(J14*J15,0)</f>
        <v>346</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346</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35</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29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29.1</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1</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-35</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346</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14</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7.4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2.2000000000000002</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v>
      </c>
      <c r="D33" s="811" t="s">
        <v>3170</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0.2</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29</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0.4</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28</v>
      </c>
      <c r="D39" s="2548" t="s">
        <v>1806</v>
      </c>
      <c r="E39" s="2549"/>
      <c r="F39" s="2550"/>
      <c r="G39" s="2062"/>
      <c r="H39" s="2077"/>
      <c r="I39" s="837" t="s">
        <v>1818</v>
      </c>
      <c r="J39" s="845">
        <f ca="1">ROUND(J35/C39,3)</f>
        <v>1.036</v>
      </c>
      <c r="K39" s="2083"/>
      <c r="L39" s="2077"/>
      <c r="M39" s="2077"/>
    </row>
    <row r="40" spans="1:18" ht="18" customHeight="1">
      <c r="A40" s="781" t="s">
        <v>1895</v>
      </c>
      <c r="B40" s="2232" t="s">
        <v>2303</v>
      </c>
      <c r="C40" s="783">
        <f ca="1">ROUND(C39*(1-((1+F42)/(1+F40))^F41)/(F40-F42),0)</f>
        <v>538</v>
      </c>
      <c r="D40" s="814" t="s">
        <v>1807</v>
      </c>
      <c r="E40" s="784" t="s">
        <v>2421</v>
      </c>
      <c r="F40" s="794">
        <f ca="1">INDIRECT("'数据-取费表'!I"&amp;$G$1)</f>
        <v>5.5E-2</v>
      </c>
      <c r="G40" s="2062"/>
      <c r="H40" s="2062"/>
      <c r="I40" s="837" t="s">
        <v>1819</v>
      </c>
      <c r="J40" s="845">
        <f ca="1">1-J39</f>
        <v>-3.6000000000000032E-2</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0.64300000000000002</v>
      </c>
      <c r="K42" s="2082"/>
      <c r="L42" s="1988"/>
      <c r="M42" s="1988"/>
    </row>
    <row r="43" spans="1:18" ht="18" customHeight="1" thickBot="1">
      <c r="A43" s="823" t="s">
        <v>1787</v>
      </c>
      <c r="B43" s="824" t="s">
        <v>1810</v>
      </c>
      <c r="C43" s="825">
        <f ca="1">ROUND(C40*10000/F43,0)</f>
        <v>6776</v>
      </c>
      <c r="D43" s="826" t="s">
        <v>1811</v>
      </c>
      <c r="E43" s="827" t="s">
        <v>1812</v>
      </c>
      <c r="F43" s="828">
        <f ca="1">INDIRECT("'数据-取费表'!k"&amp;$G$1)</f>
        <v>794</v>
      </c>
      <c r="G43" s="2062"/>
      <c r="H43" s="1988"/>
      <c r="I43" s="847" t="s">
        <v>1822</v>
      </c>
      <c r="J43" s="848">
        <f ca="1">1-J42</f>
        <v>0.35699999999999998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-622</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3014</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538</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346</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-22</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64" t="s">
        <v>2972</v>
      </c>
      <c r="L53" s="3465"/>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554</v>
      </c>
      <c r="R54" s="2403" t="s">
        <v>2394</v>
      </c>
    </row>
    <row r="55" spans="1:18" s="2059" customFormat="1" ht="18" customHeight="1" thickTop="1" thickBot="1">
      <c r="A55" s="797">
        <v>2</v>
      </c>
      <c r="B55" s="798" t="s">
        <v>643</v>
      </c>
      <c r="C55" s="799">
        <f ca="1">C13</f>
        <v>346</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346</v>
      </c>
      <c r="D56" s="2639"/>
      <c r="E56" s="784"/>
      <c r="F56" s="809"/>
      <c r="I56" s="3168" t="s">
        <v>2359</v>
      </c>
      <c r="J56" s="3178" t="s">
        <v>3151</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6</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538</v>
      </c>
      <c r="R57" s="2399" t="s">
        <v>2382</v>
      </c>
    </row>
    <row r="58" spans="1:18" s="2059" customFormat="1" ht="28.5" customHeight="1" thickBot="1">
      <c r="A58" s="1648" t="s">
        <v>1824</v>
      </c>
      <c r="B58" s="784" t="s">
        <v>655</v>
      </c>
      <c r="C58" s="53">
        <f ca="1">ROUND(IF(项目基本情况!B11="自然人",C47*F58,C59+C60+C61),1)</f>
        <v>0.2</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0.2</v>
      </c>
      <c r="D61" s="814" t="s">
        <v>668</v>
      </c>
      <c r="E61" s="784" t="s">
        <v>669</v>
      </c>
      <c r="F61" s="640">
        <f t="shared" si="0"/>
        <v>3</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538</v>
      </c>
      <c r="R63" s="2403" t="s">
        <v>2394</v>
      </c>
    </row>
    <row r="64" spans="1:18" s="2059" customFormat="1" ht="16.5" thickBot="1">
      <c r="A64" s="1648" t="s">
        <v>1890</v>
      </c>
      <c r="B64" s="784" t="s">
        <v>678</v>
      </c>
      <c r="C64" s="53">
        <f ca="1">ROUND(C55*F64,1)</f>
        <v>0.5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-6</v>
      </c>
      <c r="D66" s="2638" t="s">
        <v>699</v>
      </c>
      <c r="E66" s="2637"/>
      <c r="F66" s="820"/>
      <c r="K66" s="2086"/>
      <c r="O66" s="2398" t="s">
        <v>2381</v>
      </c>
      <c r="P66" s="2399" t="s">
        <v>2411</v>
      </c>
      <c r="Q66" s="2400">
        <f ca="1">C40+J29</f>
        <v>538</v>
      </c>
      <c r="R66" s="2399" t="s">
        <v>2382</v>
      </c>
    </row>
    <row r="67" spans="1:18" s="2059" customFormat="1" ht="20.25" thickBot="1">
      <c r="A67" s="781" t="s">
        <v>1780</v>
      </c>
      <c r="B67" s="2232" t="s">
        <v>2303</v>
      </c>
      <c r="C67" s="783">
        <f ca="1">ROUND(C66*(1-((1+F69)/(1+F67))^F68)/(F67-F69),0)</f>
        <v>-84</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27.3</v>
      </c>
      <c r="O68" s="2401" t="s">
        <v>2385</v>
      </c>
      <c r="P68" s="2399" t="s">
        <v>2415</v>
      </c>
      <c r="Q68" s="2405">
        <f ca="1">L51</f>
        <v>-22</v>
      </c>
      <c r="R68" s="2406" t="s">
        <v>2418</v>
      </c>
    </row>
    <row r="69" spans="1:18" ht="20.25" thickBot="1">
      <c r="A69" s="790"/>
      <c r="B69" s="791"/>
      <c r="C69" s="792"/>
      <c r="D69" s="816"/>
      <c r="E69" s="784" t="s">
        <v>709</v>
      </c>
      <c r="F69" s="2371"/>
      <c r="O69" s="2401" t="s">
        <v>2386</v>
      </c>
      <c r="P69" s="2407" t="s">
        <v>2400</v>
      </c>
      <c r="Q69" s="2400">
        <f ca="1">ROUND(Q70-Q71*Q72,0)</f>
        <v>-1</v>
      </c>
      <c r="R69" s="2403"/>
    </row>
    <row r="70" spans="1:18" ht="15.75" thickBot="1">
      <c r="A70" s="823" t="s">
        <v>1787</v>
      </c>
      <c r="B70" s="824" t="s">
        <v>1810</v>
      </c>
      <c r="C70" s="825">
        <f ca="1">ROUND(C67*10000/F70,0)</f>
        <v>-1058</v>
      </c>
      <c r="D70" s="826" t="s">
        <v>1811</v>
      </c>
      <c r="E70" s="827" t="s">
        <v>1812</v>
      </c>
      <c r="F70" s="828">
        <f ca="1">F43</f>
        <v>794</v>
      </c>
      <c r="O70" s="2401" t="s">
        <v>2401</v>
      </c>
      <c r="P70" s="2407" t="s">
        <v>2402</v>
      </c>
      <c r="Q70" s="2400">
        <f ca="1">C39</f>
        <v>28</v>
      </c>
      <c r="R70" s="2399" t="s">
        <v>2382</v>
      </c>
    </row>
    <row r="71" spans="1:18" ht="15.75" thickBot="1">
      <c r="O71" s="2401" t="s">
        <v>2403</v>
      </c>
      <c r="P71" s="2407" t="s">
        <v>2404</v>
      </c>
      <c r="Q71" s="2400">
        <f ca="1">C13</f>
        <v>346</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538</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2473</v>
      </c>
      <c r="B1" s="3483"/>
      <c r="C1" s="3484"/>
      <c r="D1" s="3485">
        <f>SUM(I10,I15,I20,I21,I23)</f>
        <v>0</v>
      </c>
      <c r="E1" s="3485"/>
      <c r="F1" s="3485"/>
      <c r="G1" s="3485"/>
      <c r="H1" s="3485"/>
      <c r="I1" s="3486"/>
    </row>
    <row r="2" spans="1:9">
      <c r="A2" s="3472" t="s">
        <v>2474</v>
      </c>
      <c r="B2" s="3473" t="s">
        <v>2475</v>
      </c>
      <c r="C2" s="3473"/>
      <c r="D2" s="2507" t="s">
        <v>2476</v>
      </c>
      <c r="E2" s="2507" t="s">
        <v>2477</v>
      </c>
      <c r="F2" s="2507" t="s">
        <v>2478</v>
      </c>
      <c r="G2" s="2507" t="s">
        <v>2479</v>
      </c>
      <c r="H2" s="2507" t="s">
        <v>2480</v>
      </c>
      <c r="I2" s="2508" t="s">
        <v>2481</v>
      </c>
    </row>
    <row r="3" spans="1:9">
      <c r="A3" s="3472"/>
      <c r="B3" s="3473" t="s">
        <v>2482</v>
      </c>
      <c r="C3" s="3473"/>
      <c r="D3" s="2509"/>
      <c r="E3" s="2507"/>
      <c r="F3" s="2510"/>
      <c r="G3" s="2510"/>
      <c r="H3" s="2511"/>
      <c r="I3" s="2512">
        <f>ROUND(D3*E3*F3*G3*H3/10000,0)</f>
        <v>0</v>
      </c>
    </row>
    <row r="4" spans="1:9">
      <c r="A4" s="3472"/>
      <c r="B4" s="3473" t="s">
        <v>2483</v>
      </c>
      <c r="C4" s="3473"/>
      <c r="D4" s="2509"/>
      <c r="E4" s="2507"/>
      <c r="F4" s="2510"/>
      <c r="G4" s="2510"/>
      <c r="H4" s="2511"/>
      <c r="I4" s="2512">
        <f t="shared" ref="I4:I9" si="0">ROUND(D4*E4*F4*G4*H4/10000,0)</f>
        <v>0</v>
      </c>
    </row>
    <row r="5" spans="1:9">
      <c r="A5" s="3472"/>
      <c r="B5" s="3473" t="s">
        <v>2484</v>
      </c>
      <c r="C5" s="3473"/>
      <c r="D5" s="2509"/>
      <c r="E5" s="2507"/>
      <c r="F5" s="2510"/>
      <c r="G5" s="2510"/>
      <c r="H5" s="2511"/>
      <c r="I5" s="2512">
        <f t="shared" si="0"/>
        <v>0</v>
      </c>
    </row>
    <row r="6" spans="1:9">
      <c r="A6" s="3472"/>
      <c r="B6" s="3473" t="s">
        <v>2485</v>
      </c>
      <c r="C6" s="3473"/>
      <c r="D6" s="2509"/>
      <c r="E6" s="2507"/>
      <c r="F6" s="2510"/>
      <c r="G6" s="2510"/>
      <c r="H6" s="2511"/>
      <c r="I6" s="2512">
        <f t="shared" si="0"/>
        <v>0</v>
      </c>
    </row>
    <row r="7" spans="1:9">
      <c r="A7" s="3472"/>
      <c r="B7" s="3473" t="s">
        <v>2486</v>
      </c>
      <c r="C7" s="3473"/>
      <c r="D7" s="2509"/>
      <c r="E7" s="2507"/>
      <c r="F7" s="2510"/>
      <c r="G7" s="2510"/>
      <c r="H7" s="2511"/>
      <c r="I7" s="2512">
        <f t="shared" si="0"/>
        <v>0</v>
      </c>
    </row>
    <row r="8" spans="1:9">
      <c r="A8" s="3472"/>
      <c r="B8" s="3473" t="s">
        <v>2487</v>
      </c>
      <c r="C8" s="3473"/>
      <c r="D8" s="2509"/>
      <c r="E8" s="2507"/>
      <c r="F8" s="2510"/>
      <c r="G8" s="2510"/>
      <c r="H8" s="2511"/>
      <c r="I8" s="2512">
        <f t="shared" si="0"/>
        <v>0</v>
      </c>
    </row>
    <row r="9" spans="1:9">
      <c r="A9" s="3472"/>
      <c r="B9" s="3473" t="s">
        <v>2488</v>
      </c>
      <c r="C9" s="3473"/>
      <c r="D9" s="2509"/>
      <c r="E9" s="2507"/>
      <c r="F9" s="2510"/>
      <c r="G9" s="2510"/>
      <c r="H9" s="2511"/>
      <c r="I9" s="2512">
        <f t="shared" si="0"/>
        <v>0</v>
      </c>
    </row>
    <row r="10" spans="1:9">
      <c r="A10" s="3472"/>
      <c r="B10" s="3474" t="s">
        <v>2489</v>
      </c>
      <c r="C10" s="3474"/>
      <c r="D10" s="2513">
        <v>527</v>
      </c>
      <c r="E10" s="2513" t="e">
        <f>ROUND(D1*10000/D10/H9,0)</f>
        <v>#DIV/0!</v>
      </c>
      <c r="F10" s="2514"/>
      <c r="G10" s="2514"/>
      <c r="H10" s="2515"/>
      <c r="I10" s="2516">
        <f>SUM(I3:I9)</f>
        <v>0</v>
      </c>
    </row>
    <row r="11" spans="1:9" ht="14.25">
      <c r="A11" s="3472" t="s">
        <v>2490</v>
      </c>
      <c r="B11" s="3473" t="s">
        <v>2491</v>
      </c>
      <c r="C11" s="3473"/>
      <c r="D11" s="2509" t="s">
        <v>2492</v>
      </c>
      <c r="E11" s="2509" t="s">
        <v>2493</v>
      </c>
      <c r="F11" s="2510" t="s">
        <v>2494</v>
      </c>
      <c r="G11" s="2510" t="s">
        <v>2495</v>
      </c>
      <c r="H11" s="2517" t="s">
        <v>2496</v>
      </c>
      <c r="I11" s="2508" t="s">
        <v>2497</v>
      </c>
    </row>
    <row r="12" spans="1:9">
      <c r="A12" s="3472"/>
      <c r="B12" s="3473" t="s">
        <v>2498</v>
      </c>
      <c r="C12" s="3473"/>
      <c r="D12" s="2509"/>
      <c r="E12" s="2509"/>
      <c r="F12" s="2510"/>
      <c r="G12" s="2511"/>
      <c r="H12" s="2518"/>
      <c r="I12" s="2508">
        <f>ROUND(D12*E12*F12*G12/10000,0)</f>
        <v>0</v>
      </c>
    </row>
    <row r="13" spans="1:9">
      <c r="A13" s="3472"/>
      <c r="B13" s="3473" t="s">
        <v>2499</v>
      </c>
      <c r="C13" s="3473"/>
      <c r="D13" s="2509"/>
      <c r="E13" s="2509"/>
      <c r="F13" s="2510"/>
      <c r="G13" s="2511"/>
      <c r="H13" s="2518"/>
      <c r="I13" s="2508">
        <f>ROUND(D13*E13*F13*G13/10000,0)</f>
        <v>0</v>
      </c>
    </row>
    <row r="14" spans="1:9">
      <c r="A14" s="3472"/>
      <c r="B14" s="3473" t="s">
        <v>2500</v>
      </c>
      <c r="C14" s="3473"/>
      <c r="D14" s="2509"/>
      <c r="E14" s="2509"/>
      <c r="F14" s="2510"/>
      <c r="G14" s="2511"/>
      <c r="H14" s="2518"/>
      <c r="I14" s="2508">
        <f>ROUND(D14*E14*F14*G14/10000,0)</f>
        <v>0</v>
      </c>
    </row>
    <row r="15" spans="1:9">
      <c r="A15" s="3472"/>
      <c r="B15" s="3474" t="s">
        <v>2489</v>
      </c>
      <c r="C15" s="3474"/>
      <c r="D15" s="2513"/>
      <c r="E15" s="2513">
        <f>SUM(E12:E14)</f>
        <v>0</v>
      </c>
      <c r="F15" s="2514"/>
      <c r="G15" s="2511"/>
      <c r="H15" s="2518"/>
      <c r="I15" s="2519">
        <f>SUM(I12:I14)</f>
        <v>0</v>
      </c>
    </row>
    <row r="16" spans="1:9" ht="24">
      <c r="A16" s="3472" t="s">
        <v>2501</v>
      </c>
      <c r="B16" s="3473" t="s">
        <v>2502</v>
      </c>
      <c r="C16" s="3473"/>
      <c r="D16" s="2509" t="s">
        <v>2503</v>
      </c>
      <c r="E16" s="2520" t="s">
        <v>2504</v>
      </c>
      <c r="F16" s="2510" t="s">
        <v>2505</v>
      </c>
      <c r="G16" s="2511" t="s">
        <v>2495</v>
      </c>
      <c r="H16" s="2517" t="s">
        <v>2496</v>
      </c>
      <c r="I16" s="2508" t="s">
        <v>2497</v>
      </c>
    </row>
    <row r="17" spans="1:9" ht="14.25">
      <c r="A17" s="3472"/>
      <c r="B17" s="3473" t="s">
        <v>2506</v>
      </c>
      <c r="C17" s="3473"/>
      <c r="D17" s="2509"/>
      <c r="E17" s="2509"/>
      <c r="F17" s="2510"/>
      <c r="G17" s="2511"/>
      <c r="H17" s="2521"/>
      <c r="I17" s="2522">
        <f>ROUND(D17*E17*F17*G17/10000,0)</f>
        <v>0</v>
      </c>
    </row>
    <row r="18" spans="1:9" ht="14.25">
      <c r="A18" s="3472"/>
      <c r="B18" s="3473" t="s">
        <v>2507</v>
      </c>
      <c r="C18" s="3473"/>
      <c r="D18" s="2509"/>
      <c r="E18" s="2509"/>
      <c r="F18" s="2510"/>
      <c r="G18" s="2511"/>
      <c r="H18" s="2521"/>
      <c r="I18" s="2522">
        <f>ROUND(D18*E18*F18*G18/10000,0)</f>
        <v>0</v>
      </c>
    </row>
    <row r="19" spans="1:9" ht="14.25">
      <c r="A19" s="3472"/>
      <c r="B19" s="3473" t="s">
        <v>2508</v>
      </c>
      <c r="C19" s="3473"/>
      <c r="D19" s="2509"/>
      <c r="E19" s="2509"/>
      <c r="F19" s="2510"/>
      <c r="G19" s="2511"/>
      <c r="H19" s="2521"/>
      <c r="I19" s="2522">
        <f>ROUND(D19*E19*F19*G19/10000,0)</f>
        <v>0</v>
      </c>
    </row>
    <row r="20" spans="1:9">
      <c r="A20" s="3472"/>
      <c r="B20" s="3474" t="s">
        <v>2489</v>
      </c>
      <c r="C20" s="3474"/>
      <c r="D20" s="2513">
        <f>SUM(D17:D19)</f>
        <v>0</v>
      </c>
      <c r="E20" s="2513"/>
      <c r="F20" s="2514"/>
      <c r="G20" s="2511"/>
      <c r="H20" s="2518"/>
      <c r="I20" s="2519">
        <f>SUM(I17:I19)</f>
        <v>0</v>
      </c>
    </row>
    <row r="21" spans="1:9">
      <c r="A21" s="3472" t="s">
        <v>2509</v>
      </c>
      <c r="B21" s="3475"/>
      <c r="C21" s="3475"/>
      <c r="D21" s="3475"/>
      <c r="E21" s="3475"/>
      <c r="F21" s="3475"/>
      <c r="G21" s="3475"/>
      <c r="H21" s="2523">
        <v>0.1</v>
      </c>
      <c r="I21" s="2516">
        <f>ROUND(I10*H21,0)</f>
        <v>0</v>
      </c>
    </row>
    <row r="22" spans="1:9" ht="14.25">
      <c r="A22" s="3476" t="s">
        <v>2510</v>
      </c>
      <c r="B22" s="3477"/>
      <c r="C22" s="3478"/>
      <c r="D22" s="2524" t="s">
        <v>2511</v>
      </c>
      <c r="E22" s="2524" t="s">
        <v>2512</v>
      </c>
      <c r="F22" s="2525" t="s">
        <v>2513</v>
      </c>
      <c r="G22" s="2525" t="s">
        <v>2514</v>
      </c>
      <c r="H22" s="2517" t="s">
        <v>2515</v>
      </c>
      <c r="I22" s="2508" t="s">
        <v>2516</v>
      </c>
    </row>
    <row r="23" spans="1:9" ht="14.25" thickBot="1">
      <c r="A23" s="3479"/>
      <c r="B23" s="3480"/>
      <c r="C23" s="3481"/>
      <c r="D23" s="2526"/>
      <c r="E23" s="2526"/>
      <c r="F23" s="2526"/>
      <c r="G23" s="2527"/>
      <c r="H23" s="2528"/>
      <c r="I23" s="2529">
        <f>ROUND(E23*D23*F23*(1-G23)/10000,0)</f>
        <v>0</v>
      </c>
    </row>
    <row r="26" spans="1:9">
      <c r="A26" s="2530" t="s">
        <v>2517</v>
      </c>
      <c r="B26" s="2530"/>
      <c r="C26" s="2530"/>
      <c r="D26" s="2530"/>
      <c r="E26" s="3469">
        <f>C27-C30-C31-C32</f>
        <v>0</v>
      </c>
      <c r="F26" s="3469"/>
      <c r="G26" s="3469"/>
      <c r="H26" s="3044" t="s">
        <v>2845</v>
      </c>
    </row>
    <row r="27" spans="1:9">
      <c r="A27" s="2531">
        <v>1</v>
      </c>
      <c r="B27" s="2532" t="s">
        <v>2518</v>
      </c>
      <c r="C27" s="2532"/>
      <c r="D27" s="2532"/>
      <c r="E27" s="3470"/>
      <c r="F27" s="3470"/>
      <c r="G27" s="3470"/>
    </row>
    <row r="28" spans="1:9">
      <c r="A28" s="2533" t="s">
        <v>2519</v>
      </c>
      <c r="B28" s="2532" t="s">
        <v>2520</v>
      </c>
      <c r="C28" s="2532"/>
      <c r="D28" s="2532"/>
      <c r="E28" s="3470"/>
      <c r="F28" s="3470"/>
      <c r="G28" s="3470"/>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1"/>
      <c r="F32" s="3471"/>
      <c r="G32" s="3471"/>
    </row>
    <row r="33" spans="1:7" hidden="1">
      <c r="A33" s="3466" t="s">
        <v>2528</v>
      </c>
      <c r="B33" s="3467"/>
      <c r="C33" s="3467"/>
      <c r="D33" s="3468"/>
      <c r="E33" s="3469"/>
      <c r="F33" s="3469"/>
      <c r="G33" s="3469"/>
    </row>
    <row r="34" spans="1:7" hidden="1">
      <c r="A34" s="2535">
        <v>1</v>
      </c>
      <c r="B34" s="2532" t="s">
        <v>2529</v>
      </c>
      <c r="C34" s="2532"/>
      <c r="D34" s="2532"/>
      <c r="E34" s="3470"/>
      <c r="F34" s="3470"/>
      <c r="G34" s="3470"/>
    </row>
    <row r="35" spans="1:7" hidden="1">
      <c r="A35" s="2535">
        <v>2</v>
      </c>
      <c r="B35" s="2532" t="s">
        <v>2530</v>
      </c>
      <c r="C35" s="2532"/>
      <c r="D35" s="2532"/>
      <c r="E35" s="3470"/>
      <c r="F35" s="3470"/>
      <c r="G35" s="3470"/>
    </row>
    <row r="36" spans="1:7" hidden="1">
      <c r="A36" s="2535">
        <v>3</v>
      </c>
      <c r="B36" s="2532" t="s">
        <v>2531</v>
      </c>
      <c r="C36" s="2532"/>
      <c r="D36" s="2532"/>
      <c r="E36" s="3470"/>
      <c r="F36" s="3470"/>
      <c r="G36" s="3470"/>
    </row>
    <row r="37" spans="1:7" hidden="1">
      <c r="A37" s="2535">
        <v>4</v>
      </c>
      <c r="B37" s="2532" t="s">
        <v>2532</v>
      </c>
      <c r="C37" s="2532"/>
      <c r="D37" s="2532"/>
      <c r="E37" s="3470"/>
      <c r="F37" s="3470"/>
      <c r="G37" s="3470"/>
    </row>
    <row r="38" spans="1:7" hidden="1">
      <c r="A38" s="3466" t="s">
        <v>2533</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5" zoomScaleNormal="85" workbookViewId="0">
      <selection activeCell="O23" sqref="O2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 style="1336" customWidth="1"/>
    <col min="6" max="6" width="12.25" style="1336" customWidth="1"/>
    <col min="7" max="7" width="16.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3164</v>
      </c>
      <c r="E1" s="2626"/>
      <c r="F1" s="2807" t="s">
        <v>3231</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9782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13694</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93" t="s">
        <v>521</v>
      </c>
      <c r="D4" s="3394"/>
      <c r="E4" s="3417" t="s">
        <v>522</v>
      </c>
      <c r="F4" s="3418"/>
      <c r="G4" s="3393" t="s">
        <v>523</v>
      </c>
      <c r="H4" s="3394"/>
      <c r="I4" s="3393" t="s">
        <v>524</v>
      </c>
      <c r="J4" s="3394"/>
      <c r="K4" s="853"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376" t="s">
        <v>523</v>
      </c>
      <c r="AC4" s="3376" t="s">
        <v>524</v>
      </c>
    </row>
    <row r="5" spans="1:29" ht="15">
      <c r="A5" s="515"/>
      <c r="B5" s="516"/>
      <c r="C5" s="3404" t="s">
        <v>3001</v>
      </c>
      <c r="D5" s="3405"/>
      <c r="E5" s="3487" t="s">
        <v>3177</v>
      </c>
      <c r="F5" s="3420"/>
      <c r="G5" s="3404" t="s">
        <v>3178</v>
      </c>
      <c r="H5" s="3405"/>
      <c r="I5" s="3404" t="s">
        <v>3179</v>
      </c>
      <c r="J5" s="3405"/>
      <c r="K5" s="85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85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379" t="s">
        <v>529</v>
      </c>
      <c r="Q7" s="3388"/>
      <c r="R7" s="1567" t="s">
        <v>13</v>
      </c>
      <c r="S7" s="1568">
        <f t="shared" ref="S7:S15" si="0">F7</f>
        <v>100</v>
      </c>
      <c r="T7" s="1567" t="s">
        <v>13</v>
      </c>
      <c r="U7" s="1568">
        <f t="shared" ref="U7:U15" si="1">H7</f>
        <v>100</v>
      </c>
      <c r="V7" s="1567" t="s">
        <v>13</v>
      </c>
      <c r="W7" s="1568">
        <f t="shared" ref="W7:W15" si="2">J7</f>
        <v>100</v>
      </c>
      <c r="X7" s="1569"/>
      <c r="Y7" s="3379" t="s">
        <v>529</v>
      </c>
      <c r="Z7" s="3380"/>
      <c r="AA7" s="1570">
        <f>D7/F7</f>
        <v>1</v>
      </c>
      <c r="AB7" s="1570">
        <f>D7/H7</f>
        <v>1</v>
      </c>
      <c r="AC7" s="1570">
        <f>D7/J7</f>
        <v>1</v>
      </c>
    </row>
    <row r="8" spans="1:29" s="1219" customFormat="1" ht="15.7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379" t="s">
        <v>532</v>
      </c>
      <c r="Q8" s="3380"/>
      <c r="R8" s="1567" t="s">
        <v>13</v>
      </c>
      <c r="S8" s="1568">
        <f t="shared" si="0"/>
        <v>100</v>
      </c>
      <c r="T8" s="1567" t="s">
        <v>13</v>
      </c>
      <c r="U8" s="1568">
        <f t="shared" si="1"/>
        <v>100</v>
      </c>
      <c r="V8" s="1567" t="s">
        <v>13</v>
      </c>
      <c r="W8" s="1568">
        <f t="shared" si="2"/>
        <v>100</v>
      </c>
      <c r="X8" s="1569"/>
      <c r="Y8" s="3379" t="s">
        <v>532</v>
      </c>
      <c r="Z8" s="3380"/>
      <c r="AA8" s="1570">
        <f t="shared" ref="AA8:AA46" si="3">D8/F8</f>
        <v>1</v>
      </c>
      <c r="AB8" s="1570">
        <f t="shared" ref="AB8:AB46" si="4">D8/H8</f>
        <v>1</v>
      </c>
      <c r="AC8" s="1570">
        <f t="shared" ref="AC8:AC46" si="5">D8/J8</f>
        <v>1</v>
      </c>
    </row>
    <row r="9" spans="1:29" s="1219" customFormat="1" ht="15">
      <c r="A9" s="2914"/>
      <c r="B9" s="2921" t="s">
        <v>2758</v>
      </c>
      <c r="C9" s="3187" t="s">
        <v>3137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87"/>
      <c r="Q11" s="1150" t="str">
        <f t="shared" si="6"/>
        <v>容积率</v>
      </c>
      <c r="R11" s="1567" t="s">
        <v>11</v>
      </c>
      <c r="S11" s="1568">
        <f t="shared" si="0"/>
        <v>100</v>
      </c>
      <c r="T11" s="1567" t="s">
        <v>11</v>
      </c>
      <c r="U11" s="1568">
        <f t="shared" si="1"/>
        <v>100</v>
      </c>
      <c r="V11" s="1567" t="s">
        <v>11</v>
      </c>
      <c r="W11" s="1568">
        <f t="shared" si="2"/>
        <v>100</v>
      </c>
      <c r="X11" s="1569"/>
      <c r="Y11" s="3344"/>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7"/>
      <c r="Q12" s="1150">
        <f t="shared" si="6"/>
        <v>111</v>
      </c>
      <c r="R12" s="1567" t="s">
        <v>11</v>
      </c>
      <c r="S12" s="1568">
        <f t="shared" si="0"/>
        <v>100</v>
      </c>
      <c r="T12" s="1567" t="s">
        <v>11</v>
      </c>
      <c r="U12" s="1568">
        <f t="shared" si="1"/>
        <v>100</v>
      </c>
      <c r="V12" s="1567" t="s">
        <v>11</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7"/>
      <c r="Q13" s="1150">
        <f t="shared" si="6"/>
        <v>111</v>
      </c>
      <c r="R13" s="1567" t="s">
        <v>11</v>
      </c>
      <c r="S13" s="1568">
        <f t="shared" si="0"/>
        <v>100</v>
      </c>
      <c r="T13" s="1567" t="s">
        <v>11</v>
      </c>
      <c r="U13" s="1568">
        <f t="shared" si="1"/>
        <v>100</v>
      </c>
      <c r="V13" s="1567" t="s">
        <v>11</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7"/>
      <c r="Q14" s="1150">
        <f t="shared" si="6"/>
        <v>111</v>
      </c>
      <c r="R14" s="1567" t="s">
        <v>11</v>
      </c>
      <c r="S14" s="1568">
        <f t="shared" si="0"/>
        <v>100</v>
      </c>
      <c r="T14" s="1567" t="s">
        <v>11</v>
      </c>
      <c r="U14" s="1568">
        <f t="shared" si="1"/>
        <v>100</v>
      </c>
      <c r="V14" s="1567" t="s">
        <v>11</v>
      </c>
      <c r="W14" s="1568">
        <f t="shared" si="2"/>
        <v>100</v>
      </c>
      <c r="X14" s="1569"/>
      <c r="Y14" s="3344"/>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389" t="s">
        <v>539</v>
      </c>
      <c r="Q15" s="1571" t="str">
        <f t="shared" si="6"/>
        <v>居住社区成熟度</v>
      </c>
      <c r="R15" s="1572" t="s">
        <v>11</v>
      </c>
      <c r="S15" s="1573">
        <f t="shared" si="0"/>
        <v>100</v>
      </c>
      <c r="T15" s="1572" t="s">
        <v>11</v>
      </c>
      <c r="U15" s="1573">
        <f t="shared" si="1"/>
        <v>105</v>
      </c>
      <c r="V15" s="1572" t="s">
        <v>11</v>
      </c>
      <c r="W15" s="1573">
        <f t="shared" si="2"/>
        <v>100</v>
      </c>
      <c r="X15" s="1566"/>
      <c r="Y15" s="3389" t="s">
        <v>539</v>
      </c>
      <c r="Z15" s="1574" t="str">
        <f t="shared" si="7"/>
        <v>居住社区成熟度</v>
      </c>
      <c r="AA15" s="1575">
        <f t="shared" si="3"/>
        <v>1</v>
      </c>
      <c r="AB15" s="1575">
        <f t="shared" si="4"/>
        <v>0.95238095238095233</v>
      </c>
      <c r="AC15" s="1575">
        <f t="shared" si="5"/>
        <v>1</v>
      </c>
    </row>
    <row r="16" spans="1:29" ht="15">
      <c r="A16" s="532"/>
      <c r="B16" s="869"/>
      <c r="C16" s="576" t="s">
        <v>3232</v>
      </c>
      <c r="D16" s="555"/>
      <c r="E16" s="556" t="s">
        <v>3232</v>
      </c>
      <c r="F16" s="557"/>
      <c r="G16" s="558" t="s">
        <v>3002</v>
      </c>
      <c r="H16" s="559"/>
      <c r="I16" s="556" t="s">
        <v>3232</v>
      </c>
      <c r="J16" s="555"/>
      <c r="K16" s="870"/>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390"/>
      <c r="Q17" s="1571" t="str">
        <f>B17</f>
        <v>交通便捷度</v>
      </c>
      <c r="R17" s="1572" t="s">
        <v>11</v>
      </c>
      <c r="S17" s="1573">
        <f>F17</f>
        <v>103</v>
      </c>
      <c r="T17" s="1572" t="s">
        <v>11</v>
      </c>
      <c r="U17" s="1573">
        <f>H17</f>
        <v>103</v>
      </c>
      <c r="V17" s="1572" t="s">
        <v>11</v>
      </c>
      <c r="W17" s="1573">
        <f>J17</f>
        <v>100</v>
      </c>
      <c r="X17" s="1566"/>
      <c r="Y17" s="3390"/>
      <c r="Z17" s="1574" t="str">
        <f>Q17</f>
        <v>交通便捷度</v>
      </c>
      <c r="AA17" s="1575">
        <f t="shared" si="3"/>
        <v>0.970873786407767</v>
      </c>
      <c r="AB17" s="1575">
        <f t="shared" si="4"/>
        <v>0.970873786407767</v>
      </c>
      <c r="AC17" s="1575">
        <f t="shared" si="5"/>
        <v>1</v>
      </c>
    </row>
    <row r="18" spans="1:29" ht="15">
      <c r="A18" s="532"/>
      <c r="B18" s="595"/>
      <c r="C18" s="873" t="s">
        <v>3232</v>
      </c>
      <c r="D18" s="559"/>
      <c r="E18" s="568" t="s">
        <v>3002</v>
      </c>
      <c r="F18" s="563"/>
      <c r="G18" s="569" t="s">
        <v>3002</v>
      </c>
      <c r="H18" s="555"/>
      <c r="I18" s="568" t="s">
        <v>3232</v>
      </c>
      <c r="J18" s="555"/>
      <c r="K18" s="870"/>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390"/>
      <c r="Q19" s="1571" t="str">
        <f>B19</f>
        <v>公共配套设施</v>
      </c>
      <c r="R19" s="1572" t="s">
        <v>11</v>
      </c>
      <c r="S19" s="1573">
        <f>F19</f>
        <v>100</v>
      </c>
      <c r="T19" s="1572" t="s">
        <v>11</v>
      </c>
      <c r="U19" s="1573">
        <f>H19</f>
        <v>105</v>
      </c>
      <c r="V19" s="1572" t="s">
        <v>11</v>
      </c>
      <c r="W19" s="1573">
        <f>J19</f>
        <v>100</v>
      </c>
      <c r="X19" s="1566"/>
      <c r="Y19" s="3390"/>
      <c r="Z19" s="1574" t="str">
        <f>Q19</f>
        <v>公共配套设施</v>
      </c>
      <c r="AA19" s="1575">
        <f t="shared" si="3"/>
        <v>1</v>
      </c>
      <c r="AB19" s="1575">
        <f t="shared" si="4"/>
        <v>0.95238095238095233</v>
      </c>
      <c r="AC19" s="1575">
        <f t="shared" si="5"/>
        <v>1</v>
      </c>
    </row>
    <row r="20" spans="1:29" ht="15">
      <c r="A20" s="532"/>
      <c r="B20" s="595"/>
      <c r="C20" s="576" t="s">
        <v>3232</v>
      </c>
      <c r="D20" s="555"/>
      <c r="E20" s="556" t="s">
        <v>3232</v>
      </c>
      <c r="F20" s="557"/>
      <c r="G20" s="558" t="s">
        <v>3002</v>
      </c>
      <c r="H20" s="555"/>
      <c r="I20" s="556" t="s">
        <v>3232</v>
      </c>
      <c r="J20" s="555"/>
      <c r="K20" s="870"/>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90"/>
      <c r="Q21" s="2579" t="str">
        <f>B21</f>
        <v>基础设施水平</v>
      </c>
      <c r="R21" s="1572" t="s">
        <v>11</v>
      </c>
      <c r="S21" s="1573">
        <f>F21</f>
        <v>100</v>
      </c>
      <c r="T21" s="1572" t="s">
        <v>11</v>
      </c>
      <c r="U21" s="1573">
        <f>H21</f>
        <v>100</v>
      </c>
      <c r="V21" s="1572" t="s">
        <v>11</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t="s">
        <v>3022</v>
      </c>
      <c r="D22" s="555"/>
      <c r="E22" s="576" t="s">
        <v>3022</v>
      </c>
      <c r="F22" s="557"/>
      <c r="G22" s="576" t="s">
        <v>3022</v>
      </c>
      <c r="H22" s="555"/>
      <c r="I22" s="576" t="s">
        <v>3022</v>
      </c>
      <c r="J22" s="555"/>
      <c r="K22" s="2599"/>
      <c r="L22" s="2142"/>
      <c r="M22" s="2134"/>
      <c r="N22" s="2134"/>
      <c r="O22" s="2141"/>
      <c r="P22" s="3390"/>
      <c r="Q22" s="2579"/>
      <c r="R22" s="1572"/>
      <c r="S22" s="1573"/>
      <c r="T22" s="1572"/>
      <c r="U22" s="1573"/>
      <c r="V22" s="1572"/>
      <c r="W22" s="1573"/>
      <c r="X22" s="2581"/>
      <c r="Y22" s="3390"/>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390"/>
      <c r="Q23" s="1571" t="str">
        <f>B23</f>
        <v>自然及人文环境</v>
      </c>
      <c r="R23" s="1572" t="s">
        <v>11</v>
      </c>
      <c r="S23" s="1573">
        <f>F23</f>
        <v>100</v>
      </c>
      <c r="T23" s="1572" t="s">
        <v>11</v>
      </c>
      <c r="U23" s="1573">
        <f>H23</f>
        <v>90</v>
      </c>
      <c r="V23" s="1572" t="s">
        <v>11</v>
      </c>
      <c r="W23" s="1573">
        <f>J23</f>
        <v>90</v>
      </c>
      <c r="X23" s="1566"/>
      <c r="Y23" s="3390"/>
      <c r="Z23" s="1574" t="str">
        <f>Q23</f>
        <v>自然及人文环境</v>
      </c>
      <c r="AA23" s="1575">
        <f t="shared" si="3"/>
        <v>1</v>
      </c>
      <c r="AB23" s="1575">
        <f t="shared" si="4"/>
        <v>1.1111111111111112</v>
      </c>
      <c r="AC23" s="1575">
        <f t="shared" si="5"/>
        <v>1.1111111111111112</v>
      </c>
    </row>
    <row r="24" spans="1:29" ht="15">
      <c r="A24" s="532"/>
      <c r="B24" s="595"/>
      <c r="C24" s="576" t="s">
        <v>3004</v>
      </c>
      <c r="D24" s="555"/>
      <c r="E24" s="556" t="s">
        <v>3004</v>
      </c>
      <c r="F24" s="557"/>
      <c r="G24" s="558" t="s">
        <v>3002</v>
      </c>
      <c r="H24" s="555"/>
      <c r="I24" s="556" t="s">
        <v>3002</v>
      </c>
      <c r="J24" s="555"/>
      <c r="K24" s="870"/>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9" customFormat="1" ht="15">
      <c r="A27" s="536"/>
      <c r="B27" s="537" t="s">
        <v>723</v>
      </c>
      <c r="C27" s="3189" t="s">
        <v>3027</v>
      </c>
      <c r="D27" s="875">
        <v>100</v>
      </c>
      <c r="E27" s="3188" t="s">
        <v>3181</v>
      </c>
      <c r="F27" s="876">
        <f>SUMIF(90:90,E27,91:91)-SUMIF(90:90,C27,91:91)+100</f>
        <v>101</v>
      </c>
      <c r="G27" s="3190" t="s">
        <v>3182</v>
      </c>
      <c r="H27" s="875">
        <f>SUMIF(90:90,G27,91:91)-SUMIF(90:90,C27,91:91)+100</f>
        <v>101</v>
      </c>
      <c r="I27" s="3188" t="s">
        <v>3023</v>
      </c>
      <c r="J27" s="875">
        <f>SUMIF(90:90,I27,91:91)-SUMIF(90:90,C27,91:91)+100</f>
        <v>104</v>
      </c>
      <c r="K27" s="865"/>
      <c r="L27" s="2135"/>
      <c r="M27" s="2136"/>
      <c r="N27" s="2136"/>
      <c r="O27" s="2137"/>
      <c r="P27" s="3390"/>
      <c r="Q27" s="1150" t="str">
        <f t="shared" si="11"/>
        <v>道路级别</v>
      </c>
      <c r="R27" s="1567" t="s">
        <v>11</v>
      </c>
      <c r="S27" s="1568">
        <f>F27</f>
        <v>101</v>
      </c>
      <c r="T27" s="1567" t="s">
        <v>11</v>
      </c>
      <c r="U27" s="1568">
        <f>H27</f>
        <v>101</v>
      </c>
      <c r="V27" s="1567" t="s">
        <v>11</v>
      </c>
      <c r="W27" s="1568">
        <f>J27</f>
        <v>104</v>
      </c>
      <c r="X27" s="1569"/>
      <c r="Y27" s="3390"/>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0"/>
      <c r="Q29" s="1571">
        <f t="shared" si="11"/>
        <v>111</v>
      </c>
      <c r="R29" s="1572" t="s">
        <v>11</v>
      </c>
      <c r="S29" s="1573">
        <f t="shared" si="12"/>
        <v>100</v>
      </c>
      <c r="T29" s="1572" t="s">
        <v>11</v>
      </c>
      <c r="U29" s="1573">
        <f t="shared" si="13"/>
        <v>100</v>
      </c>
      <c r="V29" s="1572" t="s">
        <v>11</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0"/>
      <c r="Q30" s="1571">
        <f t="shared" si="11"/>
        <v>111</v>
      </c>
      <c r="R30" s="1572" t="s">
        <v>11</v>
      </c>
      <c r="S30" s="1573">
        <f t="shared" si="12"/>
        <v>100</v>
      </c>
      <c r="T30" s="1572" t="s">
        <v>11</v>
      </c>
      <c r="U30" s="1573">
        <f t="shared" si="13"/>
        <v>100</v>
      </c>
      <c r="V30" s="1572" t="s">
        <v>11</v>
      </c>
      <c r="W30" s="1573">
        <f t="shared" si="14"/>
        <v>100</v>
      </c>
      <c r="X30" s="1566"/>
      <c r="Y30" s="3390"/>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0"/>
      <c r="Q31" s="1571">
        <f t="shared" si="11"/>
        <v>111</v>
      </c>
      <c r="R31" s="1572" t="s">
        <v>11</v>
      </c>
      <c r="S31" s="1573">
        <f t="shared" si="12"/>
        <v>100</v>
      </c>
      <c r="T31" s="1572" t="s">
        <v>11</v>
      </c>
      <c r="U31" s="1573">
        <f t="shared" si="13"/>
        <v>100</v>
      </c>
      <c r="V31" s="1572" t="s">
        <v>11</v>
      </c>
      <c r="W31" s="1573">
        <f t="shared" si="14"/>
        <v>100</v>
      </c>
      <c r="X31" s="1566"/>
      <c r="Y31" s="3390"/>
      <c r="Z31" s="1574">
        <f t="shared" si="15"/>
        <v>111</v>
      </c>
      <c r="AA31" s="1575">
        <f t="shared" si="3"/>
        <v>1</v>
      </c>
      <c r="AB31" s="1575">
        <f t="shared" si="4"/>
        <v>1</v>
      </c>
      <c r="AC31" s="1575">
        <f t="shared" si="5"/>
        <v>1</v>
      </c>
    </row>
    <row r="32" spans="1:29" ht="15">
      <c r="A32" s="2907" t="s">
        <v>2757</v>
      </c>
      <c r="B32" s="172" t="s">
        <v>724</v>
      </c>
      <c r="C32" s="878" t="s">
        <v>3163</v>
      </c>
      <c r="D32" s="597">
        <v>100</v>
      </c>
      <c r="E32" s="879" t="s">
        <v>3161</v>
      </c>
      <c r="F32" s="575">
        <f>SUMIF(100:100,E32,101:101)-SUMIF(100:100,C32,101:101)+100</f>
        <v>110</v>
      </c>
      <c r="G32" s="878" t="s">
        <v>3000</v>
      </c>
      <c r="H32" s="597">
        <f>SUMIF(100:100,G32,101:101)-SUMIF(100:100,C32,101:101)+100</f>
        <v>105</v>
      </c>
      <c r="I32" s="879" t="s">
        <v>3000</v>
      </c>
      <c r="J32" s="540">
        <f>SUMIF(100:100,I32,101:101)-SUMIF(100:100,C32,101:101)+100</f>
        <v>105</v>
      </c>
      <c r="K32" s="864">
        <v>5</v>
      </c>
      <c r="L32" s="2142"/>
      <c r="M32" s="2134"/>
      <c r="N32" s="2134"/>
      <c r="O32" s="2141"/>
      <c r="P32" s="3391" t="s">
        <v>549</v>
      </c>
      <c r="Q32" s="1571" t="str">
        <f t="shared" si="11"/>
        <v>建筑类型</v>
      </c>
      <c r="R32" s="1572" t="s">
        <v>11</v>
      </c>
      <c r="S32" s="1573">
        <f t="shared" si="12"/>
        <v>110</v>
      </c>
      <c r="T32" s="1572" t="s">
        <v>11</v>
      </c>
      <c r="U32" s="1573">
        <f t="shared" si="13"/>
        <v>105</v>
      </c>
      <c r="V32" s="1572" t="s">
        <v>11</v>
      </c>
      <c r="W32" s="1573">
        <f t="shared" si="14"/>
        <v>105</v>
      </c>
      <c r="X32" s="1566"/>
      <c r="Y32" s="3392"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392"/>
      <c r="Q33" s="1604" t="str">
        <f t="shared" si="11"/>
        <v>项目建筑规模</v>
      </c>
      <c r="R33" s="1576" t="s">
        <v>11</v>
      </c>
      <c r="S33" s="1577">
        <f t="shared" si="12"/>
        <v>96</v>
      </c>
      <c r="T33" s="1576" t="s">
        <v>11</v>
      </c>
      <c r="U33" s="1577">
        <f t="shared" si="13"/>
        <v>96</v>
      </c>
      <c r="V33" s="1576" t="s">
        <v>11</v>
      </c>
      <c r="W33" s="1577">
        <f t="shared" si="14"/>
        <v>98</v>
      </c>
      <c r="X33" s="1578"/>
      <c r="Y33" s="3392"/>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1</v>
      </c>
      <c r="L34" s="2142"/>
      <c r="M34" s="2134"/>
      <c r="N34" s="2134"/>
      <c r="O34" s="2141"/>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3004</v>
      </c>
      <c r="H35" s="540">
        <f>SUMIF(107:107,G35,108:108)-SUMIF(107:107,C35,108:108)+100</f>
        <v>98</v>
      </c>
      <c r="I35" s="874" t="s">
        <v>3004</v>
      </c>
      <c r="J35" s="540">
        <f>SUMIF(107:107,I35,108:108)-SUMIF(107:107,C35,108:108)+100</f>
        <v>98</v>
      </c>
      <c r="K35" s="864">
        <v>2</v>
      </c>
      <c r="L35" s="2142"/>
      <c r="M35" s="2134"/>
      <c r="N35" s="2134"/>
      <c r="O35" s="2141"/>
      <c r="P35" s="3392"/>
      <c r="Q35" s="1571" t="str">
        <f t="shared" si="11"/>
        <v>建筑品质</v>
      </c>
      <c r="R35" s="1572" t="s">
        <v>11</v>
      </c>
      <c r="S35" s="1573">
        <f t="shared" si="12"/>
        <v>100</v>
      </c>
      <c r="T35" s="1572" t="s">
        <v>11</v>
      </c>
      <c r="U35" s="1573">
        <f t="shared" si="13"/>
        <v>98</v>
      </c>
      <c r="V35" s="1572" t="s">
        <v>11</v>
      </c>
      <c r="W35" s="1573">
        <f t="shared" si="14"/>
        <v>98</v>
      </c>
      <c r="X35" s="1566"/>
      <c r="Y35" s="3392"/>
      <c r="Z35" s="1574" t="str">
        <f t="shared" si="15"/>
        <v>建筑品质</v>
      </c>
      <c r="AA35" s="1575">
        <f t="shared" si="3"/>
        <v>1</v>
      </c>
      <c r="AB35" s="1575">
        <f t="shared" si="4"/>
        <v>1.0204081632653061</v>
      </c>
      <c r="AC35" s="1575">
        <f t="shared" si="5"/>
        <v>1.0204081632653061</v>
      </c>
    </row>
    <row r="36" spans="1:29" ht="15">
      <c r="A36" s="594"/>
      <c r="B36" s="527" t="s">
        <v>728</v>
      </c>
      <c r="C36" s="599" t="s">
        <v>3005</v>
      </c>
      <c r="D36" s="540">
        <v>100</v>
      </c>
      <c r="E36" s="874" t="s">
        <v>3005</v>
      </c>
      <c r="F36" s="575">
        <f>SUMIF(109:109,E36,110:110)-SUMIF(109:109,C36,110:110)+100</f>
        <v>100</v>
      </c>
      <c r="G36" s="599" t="s">
        <v>3005</v>
      </c>
      <c r="H36" s="540">
        <f>SUMIF(109:109,G36,110:110)-SUMIF(109:109,C36,110:110)+100</f>
        <v>100</v>
      </c>
      <c r="I36" s="874" t="s">
        <v>3005</v>
      </c>
      <c r="J36" s="540">
        <f>SUMIF(109:109,I36,110:110)-SUMIF(109:109,C36,110:110)+100</f>
        <v>100</v>
      </c>
      <c r="K36" s="864">
        <v>2</v>
      </c>
      <c r="L36" s="2142"/>
      <c r="M36" s="2134"/>
      <c r="N36" s="2134"/>
      <c r="O36" s="2141"/>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392"/>
      <c r="Q37" s="1150" t="str">
        <f t="shared" si="11"/>
        <v>成新度</v>
      </c>
      <c r="R37" s="1567" t="s">
        <v>11</v>
      </c>
      <c r="S37" s="1568">
        <f t="shared" si="12"/>
        <v>100</v>
      </c>
      <c r="T37" s="1567" t="s">
        <v>11</v>
      </c>
      <c r="U37" s="1568">
        <f t="shared" si="13"/>
        <v>100</v>
      </c>
      <c r="V37" s="1567" t="s">
        <v>11</v>
      </c>
      <c r="W37" s="1568">
        <f t="shared" si="14"/>
        <v>100</v>
      </c>
      <c r="X37" s="1569"/>
      <c r="Y37" s="3392"/>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2" t="s">
        <v>549</v>
      </c>
      <c r="Q38" s="1571" t="str">
        <f t="shared" si="11"/>
        <v>物业管理</v>
      </c>
      <c r="R38" s="1572" t="s">
        <v>11</v>
      </c>
      <c r="S38" s="1573">
        <f t="shared" si="12"/>
        <v>100</v>
      </c>
      <c r="T38" s="1572" t="s">
        <v>11</v>
      </c>
      <c r="U38" s="1573">
        <f t="shared" si="13"/>
        <v>100</v>
      </c>
      <c r="V38" s="1572" t="s">
        <v>11</v>
      </c>
      <c r="W38" s="1573">
        <f t="shared" si="14"/>
        <v>100</v>
      </c>
      <c r="X38" s="1566"/>
      <c r="Y38" s="3392"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
      <c r="A42" s="594"/>
      <c r="B42" s="527" t="s">
        <v>733</v>
      </c>
      <c r="C42" s="599" t="s">
        <v>3009</v>
      </c>
      <c r="D42" s="540">
        <v>100</v>
      </c>
      <c r="E42" s="874" t="s">
        <v>3009</v>
      </c>
      <c r="F42" s="575">
        <f>SUMIF(122:122,E42,123:123)-SUMIF(122:122,C42,123:123)+100</f>
        <v>100</v>
      </c>
      <c r="G42" s="599" t="s">
        <v>3009</v>
      </c>
      <c r="H42" s="540">
        <f>SUMIF(122:122,G42,123:123)-SUMIF(122:122,C42,123:123)+100</f>
        <v>100</v>
      </c>
      <c r="I42" s="874" t="s">
        <v>3009</v>
      </c>
      <c r="J42" s="540">
        <f>SUMIF(122:122,I42,123:123)-SUMIF(122:122,C42,123:123)+100</f>
        <v>100</v>
      </c>
      <c r="K42" s="864">
        <v>1</v>
      </c>
      <c r="L42" s="2142"/>
      <c r="M42" s="2134"/>
      <c r="N42" s="2134"/>
      <c r="O42" s="2141"/>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2"/>
      <c r="Q44" s="1150">
        <f t="shared" si="11"/>
        <v>111</v>
      </c>
      <c r="R44" s="1567" t="s">
        <v>11</v>
      </c>
      <c r="S44" s="1568">
        <f t="shared" si="12"/>
        <v>100</v>
      </c>
      <c r="T44" s="1567" t="s">
        <v>11</v>
      </c>
      <c r="U44" s="1568">
        <f t="shared" si="13"/>
        <v>100</v>
      </c>
      <c r="V44" s="1567" t="s">
        <v>11</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2"/>
      <c r="Q45" s="1571">
        <f t="shared" si="11"/>
        <v>111</v>
      </c>
      <c r="R45" s="1572" t="s">
        <v>11</v>
      </c>
      <c r="S45" s="1573">
        <f t="shared" si="12"/>
        <v>100</v>
      </c>
      <c r="T45" s="1572" t="s">
        <v>11</v>
      </c>
      <c r="U45" s="1573">
        <f t="shared" si="13"/>
        <v>100</v>
      </c>
      <c r="V45" s="1572" t="s">
        <v>11</v>
      </c>
      <c r="W45" s="1573">
        <f t="shared" si="14"/>
        <v>100</v>
      </c>
      <c r="X45" s="1566"/>
      <c r="Y45" s="3392"/>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0"/>
      <c r="Q46" s="1571">
        <f t="shared" si="11"/>
        <v>111</v>
      </c>
      <c r="R46" s="1572" t="s">
        <v>10</v>
      </c>
      <c r="S46" s="1573">
        <f t="shared" si="12"/>
        <v>100</v>
      </c>
      <c r="T46" s="1572" t="s">
        <v>10</v>
      </c>
      <c r="U46" s="1573">
        <f t="shared" si="13"/>
        <v>100</v>
      </c>
      <c r="V46" s="1572" t="s">
        <v>10</v>
      </c>
      <c r="W46" s="1573">
        <f t="shared" si="14"/>
        <v>100</v>
      </c>
      <c r="X46" s="1566"/>
      <c r="Y46" s="3490"/>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87" t="str">
        <f>A47</f>
        <v>成交单价（元/平方米）</v>
      </c>
      <c r="Q47" s="3387"/>
      <c r="R47" s="3489">
        <f>E47</f>
        <v>15500</v>
      </c>
      <c r="S47" s="3489"/>
      <c r="T47" s="3489">
        <f>G47</f>
        <v>14000</v>
      </c>
      <c r="U47" s="3489"/>
      <c r="V47" s="3489">
        <f>I47</f>
        <v>12500</v>
      </c>
      <c r="W47" s="3489"/>
      <c r="X47" s="1558"/>
      <c r="Y47" s="1580"/>
      <c r="Z47" s="1558"/>
      <c r="AA47" s="1558"/>
      <c r="AB47" s="1558"/>
      <c r="AC47" s="1558"/>
    </row>
    <row r="48" spans="1:29" ht="15.75" thickBot="1">
      <c r="A48" s="615" t="s">
        <v>2762</v>
      </c>
      <c r="B48" s="888"/>
      <c r="C48" s="2633">
        <f>R49</f>
        <v>13694</v>
      </c>
      <c r="D48" s="2634"/>
      <c r="E48" s="2635">
        <f>R48</f>
        <v>14109</v>
      </c>
      <c r="F48" s="2635"/>
      <c r="G48" s="2633">
        <f>T48</f>
        <v>13730</v>
      </c>
      <c r="H48" s="2634"/>
      <c r="I48" s="2635">
        <f>V48</f>
        <v>13243</v>
      </c>
      <c r="J48" s="2634"/>
      <c r="K48" s="1606"/>
      <c r="L48" s="2144"/>
      <c r="M48" s="2145"/>
      <c r="N48" s="2145"/>
      <c r="O48" s="2145"/>
      <c r="P48" s="3387" t="str">
        <f>A48</f>
        <v>比较价格（元/平方米）</v>
      </c>
      <c r="Q48" s="3387"/>
      <c r="R48" s="3489">
        <f>IF(F1="售价",ROUND(PRODUCT(R47,AA7:AA46),0),ROUND(PRODUCT(R47,AA7:AA46),1))</f>
        <v>14109</v>
      </c>
      <c r="S48" s="3489"/>
      <c r="T48" s="3489">
        <f>IF(F1="售价",ROUND(PRODUCT(T47,AB7:AB46),0),ROUND(PRODUCT(T47,AB7:AB46),1))</f>
        <v>13730</v>
      </c>
      <c r="U48" s="3489"/>
      <c r="V48" s="3489">
        <f>IF(F1="售价",ROUND(PRODUCT(V47,AC7:AC46),0),ROUND(PRODUCT(V47,AC7:AC46),1))</f>
        <v>13243</v>
      </c>
      <c r="W48" s="3489"/>
      <c r="X48" s="1558"/>
      <c r="Y48" s="1558"/>
      <c r="Z48" s="1558"/>
      <c r="AA48" s="1558"/>
      <c r="AB48" s="1558"/>
      <c r="AC48" s="1558"/>
    </row>
    <row r="49" spans="1:29" ht="15.75" thickBot="1">
      <c r="A49" s="621" t="s">
        <v>2939</v>
      </c>
      <c r="B49" s="622"/>
      <c r="C49" s="2636">
        <f>R49</f>
        <v>13694</v>
      </c>
      <c r="D49" s="2636"/>
      <c r="E49" s="2636"/>
      <c r="F49" s="2636"/>
      <c r="G49" s="2636"/>
      <c r="H49" s="2636"/>
      <c r="I49" s="2636"/>
      <c r="J49" s="2636"/>
      <c r="K49" s="1607"/>
      <c r="L49" s="2144"/>
      <c r="M49" s="2145"/>
      <c r="N49" s="2145"/>
      <c r="O49" s="2145"/>
      <c r="P49" s="3408" t="str">
        <f>A49</f>
        <v>估价对象XX用房的比较价格（楼面单价，元/平方米）</v>
      </c>
      <c r="Q49" s="3409"/>
      <c r="R49" s="3488">
        <f>IF(F1="售价",ROUND(AVERAGE(R48:V48),0),ROUND(AVERAGE(R48:V48),1))</f>
        <v>13694</v>
      </c>
      <c r="S49" s="3488"/>
      <c r="T49" s="3488"/>
      <c r="U49" s="3488"/>
      <c r="V49" s="3488"/>
      <c r="W49" s="348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9.8589552767736954E-2</v>
      </c>
      <c r="F52" s="627" t="str">
        <f>IF(OR(E52&gt;=0.3,E52&lt;=-0.3),"超过30%","")</f>
        <v/>
      </c>
      <c r="G52" s="626">
        <f>IF(G47&lt;G48,G48/G47-1,G47/G48-1)</f>
        <v>1.9664967225054619E-2</v>
      </c>
      <c r="H52" s="627" t="str">
        <f>IF(OR(G52&gt;=0.3,G52&lt;=-0.3),"超过30%","")</f>
        <v/>
      </c>
      <c r="I52" s="626">
        <f>IF(I47&lt;I48,I48/I47-1,I47/I48-1)</f>
        <v>5.9439999999999937E-2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2.7603787327021179E-2</v>
      </c>
      <c r="F53" s="627" t="str">
        <f>IF(OR(E53&gt;=0.2,E53&lt;=-0.2),"超过20%","")</f>
        <v/>
      </c>
      <c r="G53" s="626">
        <f>IF(G48&lt;I48,I48/G48-1,G48/I48-1)</f>
        <v>3.6774144831231537E-2</v>
      </c>
      <c r="H53" s="627" t="str">
        <f>IF(OR(G53&gt;=0.2,G53&lt;=-0.2),"超过20%","")</f>
        <v/>
      </c>
      <c r="I53" s="626">
        <f>IF(I48&lt;E48,E48/I48-1,I48/E48-1)</f>
        <v>6.539303783130701E-2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3023</v>
      </c>
      <c r="D90" s="3180" t="s">
        <v>3024</v>
      </c>
      <c r="E90" s="3180" t="s">
        <v>3025</v>
      </c>
      <c r="F90" s="3180" t="s">
        <v>3026</v>
      </c>
      <c r="G90" s="3180" t="s">
        <v>3027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3147</v>
      </c>
      <c r="D100" s="3179" t="s">
        <v>3162</v>
      </c>
      <c r="E100" s="3179" t="s">
        <v>3158</v>
      </c>
      <c r="F100" s="3179" t="s">
        <v>3159</v>
      </c>
      <c r="G100" s="3179" t="s">
        <v>3160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3015</v>
      </c>
      <c r="D105" s="3180" t="s">
        <v>3016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3017</v>
      </c>
      <c r="D107" s="3181" t="s">
        <v>3018</v>
      </c>
      <c r="E107" s="3181" t="s">
        <v>3019</v>
      </c>
      <c r="F107" s="3181" t="s">
        <v>3020</v>
      </c>
      <c r="G107" s="3181"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3013</v>
      </c>
      <c r="D109" s="3180" t="s">
        <v>3007</v>
      </c>
      <c r="E109" s="3180" t="s">
        <v>3008</v>
      </c>
      <c r="F109" s="3181" t="s">
        <v>3010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3011</v>
      </c>
      <c r="D114" s="3180" t="s">
        <v>3012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3006</v>
      </c>
      <c r="D122" s="3180" t="s">
        <v>3007</v>
      </c>
      <c r="E122" s="3180" t="s">
        <v>3008</v>
      </c>
      <c r="F122" s="3181" t="s">
        <v>3010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93" t="s">
        <v>521</v>
      </c>
      <c r="D4" s="3394"/>
      <c r="E4" s="3417" t="s">
        <v>522</v>
      </c>
      <c r="F4" s="3418"/>
      <c r="G4" s="3393" t="s">
        <v>523</v>
      </c>
      <c r="H4" s="3394"/>
      <c r="I4" s="3393" t="s">
        <v>524</v>
      </c>
      <c r="J4" s="3394"/>
      <c r="K4" s="514"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401" t="s">
        <v>523</v>
      </c>
      <c r="AC4" s="3376" t="s">
        <v>524</v>
      </c>
    </row>
    <row r="5" spans="1:29" ht="15">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401"/>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401"/>
      <c r="AC6" s="3378"/>
    </row>
    <row r="7" spans="1:29" s="1219" customFormat="1" ht="15.7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9"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9" t="s">
        <v>539</v>
      </c>
      <c r="Q15" s="1571" t="str">
        <f t="shared" si="6"/>
        <v>商业繁华度</v>
      </c>
      <c r="R15" s="1572" t="s">
        <v>8</v>
      </c>
      <c r="S15" s="1573">
        <f t="shared" si="0"/>
        <v>100</v>
      </c>
      <c r="T15" s="1572" t="s">
        <v>8</v>
      </c>
      <c r="U15" s="1573">
        <f t="shared" si="1"/>
        <v>100</v>
      </c>
      <c r="V15" s="1572" t="s">
        <v>8</v>
      </c>
      <c r="W15" s="1573">
        <f t="shared" si="2"/>
        <v>100</v>
      </c>
      <c r="X15" s="1566"/>
      <c r="Y15" s="3389"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0"/>
      <c r="Q27" s="1150" t="str">
        <f t="shared" si="11"/>
        <v>人流量</v>
      </c>
      <c r="R27" s="1567" t="s">
        <v>8</v>
      </c>
      <c r="S27" s="1568">
        <f>F27</f>
        <v>100</v>
      </c>
      <c r="T27" s="1567" t="s">
        <v>8</v>
      </c>
      <c r="U27" s="1568">
        <f>H27</f>
        <v>100</v>
      </c>
      <c r="V27" s="1567" t="s">
        <v>8</v>
      </c>
      <c r="W27" s="1568">
        <f>J27</f>
        <v>100</v>
      </c>
      <c r="X27" s="1569"/>
      <c r="Y27" s="3390"/>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1" t="s">
        <v>549</v>
      </c>
      <c r="Q32" s="1571" t="str">
        <f t="shared" si="11"/>
        <v>商业类型</v>
      </c>
      <c r="R32" s="1572" t="s">
        <v>8</v>
      </c>
      <c r="S32" s="1573">
        <f t="shared" si="12"/>
        <v>100</v>
      </c>
      <c r="T32" s="1572" t="s">
        <v>8</v>
      </c>
      <c r="U32" s="1573">
        <f t="shared" si="13"/>
        <v>100</v>
      </c>
      <c r="V32" s="1572" t="s">
        <v>8</v>
      </c>
      <c r="W32" s="1573">
        <f t="shared" si="14"/>
        <v>100</v>
      </c>
      <c r="X32" s="1566"/>
      <c r="Y32" s="3392"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2"/>
      <c r="Q37" s="1150" t="str">
        <f t="shared" si="11"/>
        <v>市政基础设施</v>
      </c>
      <c r="R37" s="1567" t="s">
        <v>8</v>
      </c>
      <c r="S37" s="1568">
        <f t="shared" si="12"/>
        <v>100</v>
      </c>
      <c r="T37" s="1567" t="s">
        <v>8</v>
      </c>
      <c r="U37" s="1568">
        <f t="shared" si="13"/>
        <v>100</v>
      </c>
      <c r="V37" s="1567" t="s">
        <v>8</v>
      </c>
      <c r="W37" s="1568">
        <f t="shared" si="14"/>
        <v>100</v>
      </c>
      <c r="X37" s="1569"/>
      <c r="Y37" s="3392"/>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2" t="s">
        <v>765</v>
      </c>
      <c r="Q38" s="1571" t="str">
        <f t="shared" si="11"/>
        <v>业态</v>
      </c>
      <c r="R38" s="1572" t="s">
        <v>8</v>
      </c>
      <c r="S38" s="1573">
        <f t="shared" si="12"/>
        <v>100</v>
      </c>
      <c r="T38" s="1572" t="s">
        <v>8</v>
      </c>
      <c r="U38" s="1573">
        <f t="shared" si="13"/>
        <v>100</v>
      </c>
      <c r="V38" s="1572" t="s">
        <v>8</v>
      </c>
      <c r="W38" s="1573">
        <f t="shared" si="14"/>
        <v>100</v>
      </c>
      <c r="X38" s="1566"/>
      <c r="Y38" s="3392"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2"/>
      <c r="Q44" s="1150">
        <f t="shared" si="11"/>
        <v>111</v>
      </c>
      <c r="R44" s="1567" t="s">
        <v>8</v>
      </c>
      <c r="S44" s="1568">
        <f t="shared" si="12"/>
        <v>100</v>
      </c>
      <c r="T44" s="1567" t="s">
        <v>8</v>
      </c>
      <c r="U44" s="1568">
        <f t="shared" si="13"/>
        <v>100</v>
      </c>
      <c r="V44" s="1567" t="s">
        <v>8</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0"/>
      <c r="Q46" s="1571">
        <f t="shared" si="11"/>
        <v>111</v>
      </c>
      <c r="R46" s="1572" t="s">
        <v>8</v>
      </c>
      <c r="S46" s="1573">
        <f t="shared" si="12"/>
        <v>100</v>
      </c>
      <c r="T46" s="1572" t="s">
        <v>8</v>
      </c>
      <c r="U46" s="1573">
        <f t="shared" si="13"/>
        <v>100</v>
      </c>
      <c r="V46" s="1572" t="s">
        <v>8</v>
      </c>
      <c r="W46" s="1573">
        <f t="shared" si="14"/>
        <v>100</v>
      </c>
      <c r="X46" s="1566"/>
      <c r="Y46" s="3490"/>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87" t="str">
        <f>A47</f>
        <v>成交单价（元/平方米）</v>
      </c>
      <c r="Q47" s="3387"/>
      <c r="R47" s="3489">
        <f>E47</f>
        <v>0</v>
      </c>
      <c r="S47" s="3489"/>
      <c r="T47" s="3489">
        <f>G47</f>
        <v>0</v>
      </c>
      <c r="U47" s="3489"/>
      <c r="V47" s="3489">
        <f>I47</f>
        <v>0</v>
      </c>
      <c r="W47" s="3489"/>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87" t="str">
        <f>A48</f>
        <v>比较价格（元/平方米）</v>
      </c>
      <c r="Q48" s="3387"/>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408" t="str">
        <f>A49</f>
        <v>估价对象XX用房的比较价格（楼面单价，元/平方米）</v>
      </c>
      <c r="Q49" s="3409"/>
      <c r="R49" s="3488" t="e">
        <f>IF(F1="售价",ROUND(AVERAGE(R48:V48),0),ROUND(AVERAGE(R48:V48),1))</f>
        <v>#DIV/0!</v>
      </c>
      <c r="S49" s="3488"/>
      <c r="T49" s="3488"/>
      <c r="U49" s="3488"/>
      <c r="V49" s="3488"/>
      <c r="W49" s="348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93" t="s">
        <v>521</v>
      </c>
      <c r="D4" s="3394"/>
      <c r="E4" s="3417" t="s">
        <v>522</v>
      </c>
      <c r="F4" s="3418"/>
      <c r="G4" s="3393" t="s">
        <v>523</v>
      </c>
      <c r="H4" s="3394"/>
      <c r="I4" s="3393" t="s">
        <v>524</v>
      </c>
      <c r="J4" s="3394"/>
      <c r="K4" s="514" t="s">
        <v>525</v>
      </c>
      <c r="L4" s="2133"/>
      <c r="M4" s="2134"/>
      <c r="N4" s="2134"/>
      <c r="O4" s="2134"/>
      <c r="P4" s="3491" t="s">
        <v>526</v>
      </c>
      <c r="Q4" s="3396"/>
      <c r="R4" s="3381" t="s">
        <v>522</v>
      </c>
      <c r="S4" s="3382"/>
      <c r="T4" s="3381" t="s">
        <v>523</v>
      </c>
      <c r="U4" s="3382"/>
      <c r="V4" s="3401" t="s">
        <v>524</v>
      </c>
      <c r="W4" s="3401"/>
      <c r="X4" s="1566"/>
      <c r="Y4" s="3381" t="s">
        <v>526</v>
      </c>
      <c r="Z4" s="3382"/>
      <c r="AA4" s="3376" t="s">
        <v>522</v>
      </c>
      <c r="AB4" s="3376" t="s">
        <v>523</v>
      </c>
      <c r="AC4" s="3376" t="s">
        <v>524</v>
      </c>
    </row>
    <row r="5" spans="1:29" ht="15">
      <c r="A5" s="515"/>
      <c r="B5" s="516"/>
      <c r="C5" s="3421" t="s">
        <v>2933</v>
      </c>
      <c r="D5" s="3405"/>
      <c r="E5" s="3419" t="s">
        <v>2934</v>
      </c>
      <c r="F5" s="3420"/>
      <c r="G5" s="3421" t="s">
        <v>2935</v>
      </c>
      <c r="H5" s="3405"/>
      <c r="I5" s="3421" t="s">
        <v>2936</v>
      </c>
      <c r="J5" s="3405"/>
      <c r="K5" s="514"/>
      <c r="L5" s="2133"/>
      <c r="M5" s="2134"/>
      <c r="N5" s="2134"/>
      <c r="O5" s="2134"/>
      <c r="P5" s="3492"/>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493"/>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8"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8" t="s">
        <v>532</v>
      </c>
      <c r="Q8" s="3380"/>
      <c r="R8" s="1567" t="s">
        <v>8</v>
      </c>
      <c r="S8" s="1568">
        <f t="shared" si="0"/>
        <v>0</v>
      </c>
      <c r="T8" s="1567" t="s">
        <v>8</v>
      </c>
      <c r="U8" s="1568">
        <f t="shared" si="1"/>
        <v>0</v>
      </c>
      <c r="V8" s="1567" t="s">
        <v>8</v>
      </c>
      <c r="W8" s="1568">
        <f t="shared" si="2"/>
        <v>0</v>
      </c>
      <c r="X8" s="1569"/>
      <c r="Y8" s="3379" t="s">
        <v>532</v>
      </c>
      <c r="Z8" s="3380"/>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9" t="s">
        <v>539</v>
      </c>
      <c r="Q15" s="1571" t="str">
        <f t="shared" si="6"/>
        <v>办公集聚程度</v>
      </c>
      <c r="R15" s="1572" t="s">
        <v>8</v>
      </c>
      <c r="S15" s="1573">
        <f t="shared" si="0"/>
        <v>100</v>
      </c>
      <c r="T15" s="1572" t="s">
        <v>8</v>
      </c>
      <c r="U15" s="1573">
        <f t="shared" si="1"/>
        <v>100</v>
      </c>
      <c r="V15" s="1572" t="s">
        <v>8</v>
      </c>
      <c r="W15" s="1573">
        <f t="shared" si="2"/>
        <v>100</v>
      </c>
      <c r="X15" s="1566"/>
      <c r="Y15" s="3389"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90"/>
      <c r="Q16" s="1571"/>
      <c r="R16" s="1572"/>
      <c r="S16" s="1573"/>
      <c r="T16" s="1572"/>
      <c r="U16" s="1573"/>
      <c r="V16" s="1572"/>
      <c r="W16" s="1573"/>
      <c r="X16" s="1566"/>
      <c r="Y16" s="339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90"/>
      <c r="Q18" s="1571"/>
      <c r="R18" s="1572"/>
      <c r="S18" s="1573"/>
      <c r="T18" s="1572"/>
      <c r="U18" s="1573"/>
      <c r="V18" s="1572"/>
      <c r="W18" s="1573"/>
      <c r="X18" s="1566"/>
      <c r="Y18" s="3390"/>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90"/>
      <c r="Q20" s="1571"/>
      <c r="R20" s="1572"/>
      <c r="S20" s="1573"/>
      <c r="T20" s="1572"/>
      <c r="U20" s="1573"/>
      <c r="V20" s="1572"/>
      <c r="W20" s="1573"/>
      <c r="X20" s="1566"/>
      <c r="Y20" s="3390"/>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90"/>
      <c r="Q22" s="2579"/>
      <c r="R22" s="1572"/>
      <c r="S22" s="1573"/>
      <c r="T22" s="1572"/>
      <c r="U22" s="1573"/>
      <c r="V22" s="1572"/>
      <c r="W22" s="1573"/>
      <c r="X22" s="2581"/>
      <c r="Y22" s="3390"/>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90"/>
      <c r="Q24" s="1571"/>
      <c r="R24" s="1572"/>
      <c r="S24" s="1573"/>
      <c r="T24" s="1572"/>
      <c r="U24" s="1573"/>
      <c r="V24" s="1572"/>
      <c r="W24" s="1573"/>
      <c r="X24" s="1566"/>
      <c r="Y24" s="3390"/>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90"/>
      <c r="Q26" s="1571"/>
      <c r="R26" s="1572"/>
      <c r="S26" s="1573"/>
      <c r="T26" s="1572"/>
      <c r="U26" s="1573"/>
      <c r="V26" s="1572"/>
      <c r="W26" s="1573"/>
      <c r="X26" s="1566"/>
      <c r="Y26" s="3390"/>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0"/>
      <c r="Q28" s="1150" t="str">
        <f t="shared" si="11"/>
        <v>朝向</v>
      </c>
      <c r="R28" s="1567" t="s">
        <v>8</v>
      </c>
      <c r="S28" s="1568">
        <f>F28</f>
        <v>100</v>
      </c>
      <c r="T28" s="1567" t="s">
        <v>8</v>
      </c>
      <c r="U28" s="1568">
        <f>H28</f>
        <v>100</v>
      </c>
      <c r="V28" s="1567" t="s">
        <v>8</v>
      </c>
      <c r="W28" s="1568">
        <f>J28</f>
        <v>100</v>
      </c>
      <c r="X28" s="1569"/>
      <c r="Y28" s="3390"/>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1" t="s">
        <v>549</v>
      </c>
      <c r="Q33" s="1571" t="str">
        <f t="shared" si="11"/>
        <v>建筑类型</v>
      </c>
      <c r="R33" s="1572" t="s">
        <v>8</v>
      </c>
      <c r="S33" s="1573">
        <f t="shared" si="12"/>
        <v>100</v>
      </c>
      <c r="T33" s="1572" t="s">
        <v>8</v>
      </c>
      <c r="U33" s="1573">
        <f t="shared" si="13"/>
        <v>100</v>
      </c>
      <c r="V33" s="1572" t="s">
        <v>8</v>
      </c>
      <c r="W33" s="1573">
        <f t="shared" si="14"/>
        <v>100</v>
      </c>
      <c r="X33" s="1566"/>
      <c r="Y33" s="3392"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2"/>
      <c r="Q38" s="1150" t="str">
        <f t="shared" si="11"/>
        <v>写字楼等级</v>
      </c>
      <c r="R38" s="1567" t="s">
        <v>8</v>
      </c>
      <c r="S38" s="1568">
        <f t="shared" si="12"/>
        <v>100</v>
      </c>
      <c r="T38" s="1567" t="s">
        <v>8</v>
      </c>
      <c r="U38" s="1568">
        <f t="shared" si="13"/>
        <v>100</v>
      </c>
      <c r="V38" s="1567" t="s">
        <v>8</v>
      </c>
      <c r="W38" s="1568">
        <f t="shared" si="14"/>
        <v>100</v>
      </c>
      <c r="X38" s="1569"/>
      <c r="Y38" s="3392"/>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2" t="s">
        <v>549</v>
      </c>
      <c r="Q39" s="1571" t="str">
        <f t="shared" si="11"/>
        <v>物业管理</v>
      </c>
      <c r="R39" s="1572" t="s">
        <v>8</v>
      </c>
      <c r="S39" s="1573">
        <f t="shared" si="12"/>
        <v>100</v>
      </c>
      <c r="T39" s="1572" t="s">
        <v>8</v>
      </c>
      <c r="U39" s="1573">
        <f t="shared" si="13"/>
        <v>100</v>
      </c>
      <c r="V39" s="1572" t="s">
        <v>8</v>
      </c>
      <c r="W39" s="1573">
        <f t="shared" si="14"/>
        <v>100</v>
      </c>
      <c r="X39" s="1566"/>
      <c r="Y39" s="3392"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2"/>
      <c r="Q45" s="1150">
        <f t="shared" si="11"/>
        <v>111</v>
      </c>
      <c r="R45" s="1567" t="s">
        <v>8</v>
      </c>
      <c r="S45" s="1568">
        <f t="shared" si="12"/>
        <v>100</v>
      </c>
      <c r="T45" s="1567" t="s">
        <v>8</v>
      </c>
      <c r="U45" s="1568">
        <f t="shared" si="13"/>
        <v>100</v>
      </c>
      <c r="V45" s="1567" t="s">
        <v>8</v>
      </c>
      <c r="W45" s="1568">
        <f t="shared" si="14"/>
        <v>100</v>
      </c>
      <c r="X45" s="1569"/>
      <c r="Y45" s="339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0"/>
      <c r="Q47" s="1571">
        <f t="shared" si="11"/>
        <v>111</v>
      </c>
      <c r="R47" s="1572" t="s">
        <v>8</v>
      </c>
      <c r="S47" s="1573">
        <f t="shared" si="12"/>
        <v>100</v>
      </c>
      <c r="T47" s="1572" t="s">
        <v>8</v>
      </c>
      <c r="U47" s="1573">
        <f t="shared" si="13"/>
        <v>100</v>
      </c>
      <c r="V47" s="1572" t="s">
        <v>8</v>
      </c>
      <c r="W47" s="1573">
        <f t="shared" si="14"/>
        <v>100</v>
      </c>
      <c r="X47" s="1566"/>
      <c r="Y47" s="3490"/>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09" t="str">
        <f>A48</f>
        <v>成交单价（元/平方米）</v>
      </c>
      <c r="Q48" s="3387"/>
      <c r="R48" s="3489">
        <f>E48</f>
        <v>0</v>
      </c>
      <c r="S48" s="3489"/>
      <c r="T48" s="3489">
        <f>G48</f>
        <v>0</v>
      </c>
      <c r="U48" s="3489"/>
      <c r="V48" s="3489">
        <f>I48</f>
        <v>0</v>
      </c>
      <c r="W48" s="3489"/>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09" t="str">
        <f>A49</f>
        <v>比较价格（元/平方米）</v>
      </c>
      <c r="Q49" s="3387"/>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94" t="str">
        <f>A50</f>
        <v>估价对象XX用房的比较价格（楼面单价，元/平方米）</v>
      </c>
      <c r="Q50" s="3409"/>
      <c r="R50" s="3488" t="e">
        <f>IF(F1="售价",ROUND(AVERAGE(R49:V49),0),ROUND(AVERAGE(R49:V49),1))</f>
        <v>#DIV/0!</v>
      </c>
      <c r="S50" s="3488"/>
      <c r="T50" s="3488"/>
      <c r="U50" s="3488"/>
      <c r="V50" s="3488"/>
      <c r="W50" s="348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93" t="s">
        <v>521</v>
      </c>
      <c r="D4" s="3394"/>
      <c r="E4" s="3417" t="s">
        <v>522</v>
      </c>
      <c r="F4" s="3418"/>
      <c r="G4" s="3393" t="s">
        <v>523</v>
      </c>
      <c r="H4" s="3394"/>
      <c r="I4" s="3393" t="s">
        <v>524</v>
      </c>
      <c r="J4" s="3394"/>
      <c r="K4" s="514"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377" t="s">
        <v>523</v>
      </c>
      <c r="AC4" s="3376" t="s">
        <v>524</v>
      </c>
    </row>
    <row r="5" spans="1:29" ht="15">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9"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9" t="s">
        <v>539</v>
      </c>
      <c r="Q15" s="1571" t="str">
        <f t="shared" si="6"/>
        <v>产业集聚程度</v>
      </c>
      <c r="R15" s="1572" t="s">
        <v>8</v>
      </c>
      <c r="S15" s="1573">
        <f t="shared" si="0"/>
        <v>100</v>
      </c>
      <c r="T15" s="1572" t="s">
        <v>8</v>
      </c>
      <c r="U15" s="1573">
        <f t="shared" si="1"/>
        <v>100</v>
      </c>
      <c r="V15" s="1572" t="s">
        <v>8</v>
      </c>
      <c r="W15" s="1573">
        <f t="shared" si="2"/>
        <v>100</v>
      </c>
      <c r="X15" s="1566"/>
      <c r="Y15" s="3389"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0"/>
      <c r="Q27" s="1150">
        <f t="shared" si="11"/>
        <v>111</v>
      </c>
      <c r="R27" s="1567" t="s">
        <v>8</v>
      </c>
      <c r="S27" s="1568">
        <f>F27</f>
        <v>100</v>
      </c>
      <c r="T27" s="1567" t="s">
        <v>8</v>
      </c>
      <c r="U27" s="1568">
        <f>H27</f>
        <v>100</v>
      </c>
      <c r="V27" s="1567" t="s">
        <v>8</v>
      </c>
      <c r="W27" s="1568">
        <f>J27</f>
        <v>100</v>
      </c>
      <c r="X27" s="1569"/>
      <c r="Y27" s="339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1" t="s">
        <v>549</v>
      </c>
      <c r="Q29" s="1571" t="str">
        <f t="shared" si="11"/>
        <v>建筑类型</v>
      </c>
      <c r="R29" s="1572" t="s">
        <v>8</v>
      </c>
      <c r="S29" s="1573">
        <f t="shared" si="12"/>
        <v>100</v>
      </c>
      <c r="T29" s="1572" t="s">
        <v>8</v>
      </c>
      <c r="U29" s="1573">
        <f t="shared" si="13"/>
        <v>100</v>
      </c>
      <c r="V29" s="1572" t="s">
        <v>8</v>
      </c>
      <c r="W29" s="1573">
        <f t="shared" si="14"/>
        <v>100</v>
      </c>
      <c r="X29" s="1566"/>
      <c r="Y29" s="3392"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2"/>
      <c r="Q34" s="1150" t="str">
        <f t="shared" si="11"/>
        <v>物业管理</v>
      </c>
      <c r="R34" s="1567" t="s">
        <v>8</v>
      </c>
      <c r="S34" s="1568">
        <f t="shared" si="12"/>
        <v>100</v>
      </c>
      <c r="T34" s="1567" t="s">
        <v>8</v>
      </c>
      <c r="U34" s="1568">
        <f t="shared" si="13"/>
        <v>100</v>
      </c>
      <c r="V34" s="1567" t="s">
        <v>8</v>
      </c>
      <c r="W34" s="1568">
        <f t="shared" si="14"/>
        <v>100</v>
      </c>
      <c r="X34" s="1569"/>
      <c r="Y34" s="3392"/>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2" t="s">
        <v>549</v>
      </c>
      <c r="Q35" s="1571" t="str">
        <f t="shared" si="11"/>
        <v>市政基础设施</v>
      </c>
      <c r="R35" s="1572" t="s">
        <v>8</v>
      </c>
      <c r="S35" s="1573">
        <f t="shared" si="12"/>
        <v>100</v>
      </c>
      <c r="T35" s="1572" t="s">
        <v>8</v>
      </c>
      <c r="U35" s="1573">
        <f t="shared" si="13"/>
        <v>100</v>
      </c>
      <c r="V35" s="1572" t="s">
        <v>8</v>
      </c>
      <c r="W35" s="1573">
        <f t="shared" si="14"/>
        <v>100</v>
      </c>
      <c r="X35" s="1566"/>
      <c r="Y35" s="3392"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0"/>
      <c r="Q40" s="1571">
        <f t="shared" si="11"/>
        <v>111</v>
      </c>
      <c r="R40" s="1572" t="s">
        <v>8</v>
      </c>
      <c r="S40" s="1573">
        <f t="shared" si="12"/>
        <v>100</v>
      </c>
      <c r="T40" s="1572" t="s">
        <v>8</v>
      </c>
      <c r="U40" s="1573">
        <f t="shared" si="13"/>
        <v>100</v>
      </c>
      <c r="V40" s="1572" t="s">
        <v>8</v>
      </c>
      <c r="W40" s="1573">
        <f t="shared" si="14"/>
        <v>100</v>
      </c>
      <c r="X40" s="1566"/>
      <c r="Y40" s="3490"/>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87" t="str">
        <f>A41</f>
        <v>成交单价（元/平方米）</v>
      </c>
      <c r="Q41" s="3387"/>
      <c r="R41" s="3489">
        <f>E41</f>
        <v>0</v>
      </c>
      <c r="S41" s="3489"/>
      <c r="T41" s="3489">
        <f>G41</f>
        <v>0</v>
      </c>
      <c r="U41" s="3489"/>
      <c r="V41" s="3489">
        <f>I41</f>
        <v>0</v>
      </c>
      <c r="W41" s="3489"/>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87" t="str">
        <f>A42</f>
        <v>比较价格（元/平方米）</v>
      </c>
      <c r="Q42" s="3387"/>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408" t="str">
        <f>A43</f>
        <v>估价对象XX用房的比较价格（楼面单价，元/平方米）</v>
      </c>
      <c r="Q43" s="3409"/>
      <c r="R43" s="3488" t="e">
        <f>IF(F1="售价",ROUND(AVERAGE(R42:V42),0),ROUND(AVERAGE(R42:V42),1))</f>
        <v>#DIV/0!</v>
      </c>
      <c r="S43" s="3488"/>
      <c r="T43" s="3488"/>
      <c r="U43" s="3488"/>
      <c r="V43" s="3488"/>
      <c r="W43" s="348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93" t="s">
        <v>797</v>
      </c>
      <c r="D4" s="3394"/>
      <c r="E4" s="3393" t="s">
        <v>798</v>
      </c>
      <c r="F4" s="3394"/>
      <c r="G4" s="3393" t="s">
        <v>799</v>
      </c>
      <c r="H4" s="3394"/>
      <c r="I4" s="3393" t="s">
        <v>800</v>
      </c>
      <c r="J4" s="3394"/>
      <c r="K4" s="514" t="s">
        <v>801</v>
      </c>
      <c r="L4" s="2133"/>
      <c r="M4" s="2134"/>
      <c r="N4" s="2134"/>
      <c r="O4" s="2134"/>
      <c r="P4" s="3395" t="s">
        <v>802</v>
      </c>
      <c r="Q4" s="3396"/>
      <c r="R4" s="3381" t="s">
        <v>798</v>
      </c>
      <c r="S4" s="3382"/>
      <c r="T4" s="3381" t="s">
        <v>799</v>
      </c>
      <c r="U4" s="3382"/>
      <c r="V4" s="3401" t="s">
        <v>800</v>
      </c>
      <c r="W4" s="3401"/>
      <c r="X4" s="1566"/>
      <c r="Y4" s="3381" t="s">
        <v>802</v>
      </c>
      <c r="Z4" s="3382"/>
      <c r="AA4" s="3376" t="s">
        <v>798</v>
      </c>
      <c r="AB4" s="3377" t="s">
        <v>799</v>
      </c>
      <c r="AC4" s="3376" t="s">
        <v>800</v>
      </c>
    </row>
    <row r="5" spans="1:29" ht="15">
      <c r="A5" s="515"/>
      <c r="B5" s="516"/>
      <c r="C5" s="3421" t="s">
        <v>2933</v>
      </c>
      <c r="D5" s="3405"/>
      <c r="E5" s="3421" t="s">
        <v>2934</v>
      </c>
      <c r="F5" s="3405"/>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06" t="s">
        <v>2937</v>
      </c>
      <c r="F6" s="3407"/>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9" t="s">
        <v>529</v>
      </c>
      <c r="Q7" s="3388"/>
      <c r="R7" s="1567" t="s">
        <v>8</v>
      </c>
      <c r="S7" s="1568">
        <f t="shared" ref="S7:S14" si="0">F7</f>
        <v>0</v>
      </c>
      <c r="T7" s="1567" t="s">
        <v>8</v>
      </c>
      <c r="U7" s="1568">
        <f t="shared" ref="U7:U14" si="1">H7</f>
        <v>0</v>
      </c>
      <c r="V7" s="1567" t="s">
        <v>8</v>
      </c>
      <c r="W7" s="1568">
        <f t="shared" ref="W7:W14"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7"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9" t="s">
        <v>539</v>
      </c>
      <c r="Q14" s="1571" t="str">
        <f t="shared" si="6"/>
        <v>交通便捷度</v>
      </c>
      <c r="R14" s="1572" t="s">
        <v>8</v>
      </c>
      <c r="S14" s="1573">
        <f t="shared" si="0"/>
        <v>100</v>
      </c>
      <c r="T14" s="1572" t="s">
        <v>8</v>
      </c>
      <c r="U14" s="1573">
        <f t="shared" si="1"/>
        <v>100</v>
      </c>
      <c r="V14" s="1572" t="s">
        <v>8</v>
      </c>
      <c r="W14" s="1573">
        <f t="shared" si="2"/>
        <v>100</v>
      </c>
      <c r="X14" s="1566"/>
      <c r="Y14" s="3389"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1"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2"/>
      <c r="Q31" s="1150" t="str">
        <f t="shared" si="11"/>
        <v>停车位面积</v>
      </c>
      <c r="R31" s="1567" t="s">
        <v>8</v>
      </c>
      <c r="S31" s="1568" t="e">
        <f t="shared" si="12"/>
        <v>#N/A</v>
      </c>
      <c r="T31" s="1567" t="s">
        <v>8</v>
      </c>
      <c r="U31" s="1568" t="e">
        <f t="shared" si="13"/>
        <v>#N/A</v>
      </c>
      <c r="V31" s="1567" t="s">
        <v>8</v>
      </c>
      <c r="W31" s="1568" t="e">
        <f t="shared" si="14"/>
        <v>#N/A</v>
      </c>
      <c r="X31" s="1569"/>
      <c r="Y31" s="3392"/>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2" t="s">
        <v>549</v>
      </c>
      <c r="Q32" s="1571" t="str">
        <f t="shared" si="11"/>
        <v>车位类型</v>
      </c>
      <c r="R32" s="1572" t="s">
        <v>8</v>
      </c>
      <c r="S32" s="1573">
        <f t="shared" si="12"/>
        <v>100</v>
      </c>
      <c r="T32" s="1572" t="s">
        <v>8</v>
      </c>
      <c r="U32" s="1573">
        <f t="shared" si="13"/>
        <v>100</v>
      </c>
      <c r="V32" s="1572" t="s">
        <v>8</v>
      </c>
      <c r="W32" s="1573">
        <f t="shared" si="14"/>
        <v>100</v>
      </c>
      <c r="X32" s="1566"/>
      <c r="Y32" s="3392"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87" t="str">
        <f>A37</f>
        <v>成交单价</v>
      </c>
      <c r="Q37" s="3387"/>
      <c r="R37" s="3489">
        <f>E37</f>
        <v>0</v>
      </c>
      <c r="S37" s="3489"/>
      <c r="T37" s="3489">
        <f>G37</f>
        <v>0</v>
      </c>
      <c r="U37" s="3489"/>
      <c r="V37" s="3489">
        <f>I37</f>
        <v>0</v>
      </c>
      <c r="W37" s="3489"/>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87" t="str">
        <f>A38</f>
        <v>比较价格（元/平方米）</v>
      </c>
      <c r="Q38" s="3387"/>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408" t="str">
        <f>A39</f>
        <v>估价对象XX用房的比较价格（楼面单价，元/平方米）</v>
      </c>
      <c r="Q39" s="3409"/>
      <c r="R39" s="3488" t="e">
        <f>IF(F1="售价",ROUND(AVERAGE(R38:V38),0),ROUND(AVERAGE(R38:V38),1))</f>
        <v>#DIV/0!</v>
      </c>
      <c r="S39" s="3488"/>
      <c r="T39" s="3488"/>
      <c r="U39" s="3488"/>
      <c r="V39" s="3488"/>
      <c r="W39" s="348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93" t="s">
        <v>797</v>
      </c>
      <c r="D4" s="3394"/>
      <c r="E4" s="3417" t="s">
        <v>798</v>
      </c>
      <c r="F4" s="3418"/>
      <c r="G4" s="3393" t="s">
        <v>799</v>
      </c>
      <c r="H4" s="3394"/>
      <c r="I4" s="3393" t="s">
        <v>800</v>
      </c>
      <c r="J4" s="3394"/>
      <c r="K4" s="514" t="s">
        <v>801</v>
      </c>
      <c r="L4" s="2133"/>
      <c r="M4" s="2134"/>
      <c r="N4" s="2134"/>
      <c r="O4" s="2134"/>
      <c r="P4" s="3395" t="s">
        <v>802</v>
      </c>
      <c r="Q4" s="3396"/>
      <c r="R4" s="3381" t="s">
        <v>798</v>
      </c>
      <c r="S4" s="3382"/>
      <c r="T4" s="3381" t="s">
        <v>799</v>
      </c>
      <c r="U4" s="3382"/>
      <c r="V4" s="3401" t="s">
        <v>800</v>
      </c>
      <c r="W4" s="3401"/>
      <c r="X4" s="1566"/>
      <c r="Y4" s="3381" t="s">
        <v>802</v>
      </c>
      <c r="Z4" s="3382"/>
      <c r="AA4" s="3376" t="s">
        <v>798</v>
      </c>
      <c r="AB4" s="3377" t="s">
        <v>799</v>
      </c>
      <c r="AC4" s="3376" t="s">
        <v>800</v>
      </c>
    </row>
    <row r="5" spans="1:29" ht="15">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7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7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9" t="s">
        <v>529</v>
      </c>
      <c r="Q7" s="3388"/>
      <c r="R7" s="1567" t="s">
        <v>8</v>
      </c>
      <c r="S7" s="1568">
        <f t="shared" ref="S7:S14" si="0">F7</f>
        <v>0</v>
      </c>
      <c r="T7" s="1567" t="s">
        <v>8</v>
      </c>
      <c r="U7" s="1568">
        <f t="shared" ref="U7:U14" si="1">H7</f>
        <v>0</v>
      </c>
      <c r="V7" s="1567" t="s">
        <v>8</v>
      </c>
      <c r="W7" s="1568">
        <f t="shared" ref="W7:W14" si="2">J7</f>
        <v>0</v>
      </c>
      <c r="X7" s="1569"/>
      <c r="Y7" s="3379" t="s">
        <v>529</v>
      </c>
      <c r="Z7" s="3380"/>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7"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9" t="s">
        <v>539</v>
      </c>
      <c r="Q14" s="1571" t="str">
        <f t="shared" si="6"/>
        <v>交通便捷度</v>
      </c>
      <c r="R14" s="1572" t="s">
        <v>8</v>
      </c>
      <c r="S14" s="1573">
        <f t="shared" si="0"/>
        <v>100</v>
      </c>
      <c r="T14" s="1572" t="s">
        <v>8</v>
      </c>
      <c r="U14" s="1573">
        <f t="shared" si="1"/>
        <v>100</v>
      </c>
      <c r="V14" s="1572" t="s">
        <v>8</v>
      </c>
      <c r="W14" s="1573">
        <f t="shared" si="2"/>
        <v>100</v>
      </c>
      <c r="X14" s="1566"/>
      <c r="Y14" s="3389"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2"/>
      <c r="Q31" s="1150" t="str">
        <f t="shared" si="11"/>
        <v>是否封闭</v>
      </c>
      <c r="R31" s="1567" t="s">
        <v>8</v>
      </c>
      <c r="S31" s="1568">
        <f t="shared" si="12"/>
        <v>100</v>
      </c>
      <c r="T31" s="1567" t="s">
        <v>8</v>
      </c>
      <c r="U31" s="1568">
        <f t="shared" si="13"/>
        <v>100</v>
      </c>
      <c r="V31" s="1567" t="s">
        <v>8</v>
      </c>
      <c r="W31" s="1568">
        <f t="shared" si="14"/>
        <v>100</v>
      </c>
      <c r="X31" s="1569"/>
      <c r="Y31" s="3392"/>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2" t="s">
        <v>549</v>
      </c>
      <c r="Q32" s="1571">
        <f t="shared" si="11"/>
        <v>111</v>
      </c>
      <c r="R32" s="1572" t="s">
        <v>8</v>
      </c>
      <c r="S32" s="1573">
        <f t="shared" si="12"/>
        <v>100</v>
      </c>
      <c r="T32" s="1572" t="s">
        <v>8</v>
      </c>
      <c r="U32" s="1573">
        <f t="shared" si="13"/>
        <v>100</v>
      </c>
      <c r="V32" s="1572" t="s">
        <v>8</v>
      </c>
      <c r="W32" s="1573">
        <f t="shared" si="14"/>
        <v>100</v>
      </c>
      <c r="X32" s="1566"/>
      <c r="Y32" s="3392"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87" t="str">
        <f>A35</f>
        <v>成交单价（元/平方米）</v>
      </c>
      <c r="Q35" s="3387"/>
      <c r="R35" s="3489">
        <f>E35</f>
        <v>0</v>
      </c>
      <c r="S35" s="3489"/>
      <c r="T35" s="3489">
        <f>G35</f>
        <v>0</v>
      </c>
      <c r="U35" s="3489"/>
      <c r="V35" s="3489">
        <f>I35</f>
        <v>0</v>
      </c>
      <c r="W35" s="3489"/>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87" t="str">
        <f>A36</f>
        <v>比较价格（元/平方米）</v>
      </c>
      <c r="Q36" s="3387"/>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408" t="str">
        <f>A37</f>
        <v>估价对象XX用房的比较价格（楼面单价，元/平方米）</v>
      </c>
      <c r="Q37" s="3409"/>
      <c r="R37" s="3488" t="e">
        <f>IF(F1="售价",ROUND(AVERAGE(R36:V36),0),ROUND(AVERAGE(R36:V36),1))</f>
        <v>#DIV/0!</v>
      </c>
      <c r="S37" s="3488"/>
      <c r="T37" s="3488"/>
      <c r="U37" s="3488"/>
      <c r="V37" s="3488"/>
      <c r="W37" s="348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8" t="s">
        <v>2306</v>
      </c>
      <c r="D1" s="3499"/>
      <c r="E1" s="3499"/>
      <c r="F1" s="3499"/>
      <c r="G1" s="3499"/>
      <c r="H1" s="3499"/>
      <c r="I1" s="3499"/>
      <c r="J1" s="3499"/>
      <c r="K1" s="3499"/>
      <c r="L1" s="3499"/>
      <c r="M1" s="3499"/>
      <c r="N1" s="3499"/>
      <c r="O1" s="3499"/>
      <c r="P1" s="3499"/>
      <c r="Q1" s="3499"/>
      <c r="R1" s="3499"/>
      <c r="S1" s="350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3.5"/>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topLeftCell="B46" workbookViewId="0">
      <selection activeCell="K109" sqref="K109"/>
    </sheetView>
  </sheetViews>
  <sheetFormatPr defaultRowHeight="13.5"/>
  <cols>
    <col min="1" max="1" width="35.75" customWidth="1"/>
    <col min="6" max="6" width="16.5" customWidth="1"/>
    <col min="8" max="8" width="12.25" customWidth="1"/>
  </cols>
  <sheetData>
    <row r="1" spans="1:15" s="2939" customFormat="1">
      <c r="A1" s="2939" t="s">
        <v>3028</v>
      </c>
      <c r="B1" s="2939" t="s">
        <v>3029</v>
      </c>
      <c r="C1" s="2939" t="s">
        <v>3030</v>
      </c>
      <c r="D1" s="2939" t="s">
        <v>3031</v>
      </c>
      <c r="E1" s="2939" t="s">
        <v>3032</v>
      </c>
      <c r="F1" s="2939" t="s">
        <v>2034</v>
      </c>
      <c r="G1" s="2939" t="s">
        <v>3033</v>
      </c>
      <c r="H1" s="2939" t="s">
        <v>3034</v>
      </c>
      <c r="I1" s="2939" t="s">
        <v>3035</v>
      </c>
      <c r="K1" s="2939" t="s">
        <v>3036</v>
      </c>
      <c r="L1" s="3182" t="s">
        <v>3037</v>
      </c>
      <c r="M1" s="2939" t="s">
        <v>3038</v>
      </c>
      <c r="N1" s="2939" t="s">
        <v>3039</v>
      </c>
      <c r="O1" s="2939" t="s">
        <v>3040</v>
      </c>
    </row>
    <row r="2" spans="1:15" s="2939" customFormat="1">
      <c r="A2" s="2939" t="s">
        <v>3041</v>
      </c>
      <c r="B2" s="2939" t="s">
        <v>3042</v>
      </c>
      <c r="C2" s="2939" t="s">
        <v>3043</v>
      </c>
      <c r="D2" s="2939">
        <v>4964</v>
      </c>
      <c r="E2" s="2939">
        <v>5460.4</v>
      </c>
      <c r="F2" s="2939" t="s">
        <v>3044</v>
      </c>
      <c r="G2" s="2939" t="s">
        <v>3045</v>
      </c>
      <c r="H2" s="2939" t="s">
        <v>3046</v>
      </c>
      <c r="I2" s="2939">
        <v>1267</v>
      </c>
      <c r="J2" s="2939">
        <f t="shared" ref="J2:J33" si="0">ROUND(K2*10000/D2,0)</f>
        <v>2552</v>
      </c>
      <c r="K2" s="2939">
        <v>1267</v>
      </c>
      <c r="L2" s="2939">
        <f>J2</f>
        <v>2552</v>
      </c>
      <c r="M2" s="2939">
        <v>2320.34</v>
      </c>
      <c r="N2" s="2939">
        <v>0</v>
      </c>
      <c r="O2" s="2939" t="s">
        <v>3047</v>
      </c>
    </row>
    <row r="3" spans="1:15" s="2939" customFormat="1">
      <c r="A3" s="2939" t="s">
        <v>3048</v>
      </c>
      <c r="B3" s="2939" t="s">
        <v>3042</v>
      </c>
      <c r="C3" s="2939" t="s">
        <v>3043</v>
      </c>
      <c r="D3" s="2939">
        <v>11816</v>
      </c>
      <c r="E3" s="2939">
        <v>12997.6</v>
      </c>
      <c r="F3" s="2939" t="s">
        <v>3044</v>
      </c>
      <c r="G3" s="2939" t="s">
        <v>3045</v>
      </c>
      <c r="H3" s="2939" t="s">
        <v>3046</v>
      </c>
      <c r="I3" s="2939">
        <v>3012</v>
      </c>
      <c r="J3" s="2939">
        <f t="shared" si="0"/>
        <v>2549</v>
      </c>
      <c r="K3" s="2939">
        <v>3012</v>
      </c>
      <c r="L3" s="2939">
        <f t="shared" ref="L3:L51" si="1">J3</f>
        <v>2549</v>
      </c>
      <c r="M3" s="2939">
        <v>2317.34</v>
      </c>
      <c r="N3" s="2939">
        <v>0</v>
      </c>
      <c r="O3" s="2939" t="s">
        <v>3047</v>
      </c>
    </row>
    <row r="4" spans="1:15" s="2939" customFormat="1">
      <c r="A4" s="2939" t="s">
        <v>3049</v>
      </c>
      <c r="B4" s="2939" t="s">
        <v>3042</v>
      </c>
      <c r="C4" s="2939" t="s">
        <v>3043</v>
      </c>
      <c r="D4" s="2939">
        <v>53892</v>
      </c>
      <c r="E4" s="2939">
        <v>296406</v>
      </c>
      <c r="F4" s="2939" t="s">
        <v>3050</v>
      </c>
      <c r="G4" s="2939" t="s">
        <v>3045</v>
      </c>
      <c r="H4" s="2939" t="s">
        <v>3046</v>
      </c>
      <c r="I4" s="2939">
        <v>8084</v>
      </c>
      <c r="J4" s="2939">
        <f t="shared" si="0"/>
        <v>1500</v>
      </c>
      <c r="K4" s="2939">
        <v>8084</v>
      </c>
      <c r="L4" s="2939">
        <f t="shared" si="1"/>
        <v>1500</v>
      </c>
      <c r="M4" s="2939">
        <v>272.73</v>
      </c>
      <c r="N4" s="2939">
        <v>0</v>
      </c>
      <c r="O4" s="2939" t="s">
        <v>3051</v>
      </c>
    </row>
    <row r="5" spans="1:15" s="2939" customFormat="1">
      <c r="A5" s="2939" t="s">
        <v>3052</v>
      </c>
      <c r="B5" s="2939" t="s">
        <v>3042</v>
      </c>
      <c r="C5" s="2939" t="s">
        <v>3043</v>
      </c>
      <c r="D5" s="2939">
        <v>39893</v>
      </c>
      <c r="E5" s="2939">
        <v>43882.3</v>
      </c>
      <c r="F5" s="2939" t="s">
        <v>3044</v>
      </c>
      <c r="G5" s="2939" t="s">
        <v>3045</v>
      </c>
      <c r="H5" s="2939" t="s">
        <v>3046</v>
      </c>
      <c r="I5" s="2939">
        <v>3890</v>
      </c>
      <c r="J5" s="2939">
        <f t="shared" si="0"/>
        <v>975</v>
      </c>
      <c r="K5" s="2939">
        <v>3890</v>
      </c>
      <c r="L5" s="2939">
        <f t="shared" si="1"/>
        <v>975</v>
      </c>
      <c r="M5" s="2939">
        <v>886.46</v>
      </c>
      <c r="N5" s="2939">
        <v>0</v>
      </c>
      <c r="O5" s="2939" t="s">
        <v>3053</v>
      </c>
    </row>
    <row r="6" spans="1:15" s="2939" customFormat="1">
      <c r="A6" s="2939" t="s">
        <v>3054</v>
      </c>
      <c r="B6" s="2939" t="s">
        <v>3042</v>
      </c>
      <c r="C6" s="2939" t="s">
        <v>3043</v>
      </c>
      <c r="D6" s="2939">
        <v>1697</v>
      </c>
      <c r="E6" s="2939">
        <v>1866.7</v>
      </c>
      <c r="F6" s="2939" t="s">
        <v>3044</v>
      </c>
      <c r="G6" s="2939" t="s">
        <v>3045</v>
      </c>
      <c r="H6" s="2939" t="s">
        <v>3046</v>
      </c>
      <c r="I6" s="2939">
        <v>434</v>
      </c>
      <c r="J6" s="2939">
        <f t="shared" si="0"/>
        <v>2557</v>
      </c>
      <c r="K6" s="2939">
        <v>434</v>
      </c>
      <c r="L6" s="2939">
        <f t="shared" si="1"/>
        <v>2557</v>
      </c>
      <c r="M6" s="2939">
        <v>2324.96</v>
      </c>
      <c r="N6" s="2939">
        <v>0</v>
      </c>
      <c r="O6" s="2939" t="s">
        <v>3047</v>
      </c>
    </row>
    <row r="7" spans="1:15" s="3183" customFormat="1">
      <c r="A7" s="3183" t="s">
        <v>3055</v>
      </c>
      <c r="B7" s="3183" t="s">
        <v>3042</v>
      </c>
      <c r="C7" s="3183" t="s">
        <v>3043</v>
      </c>
      <c r="D7" s="3183">
        <v>11251</v>
      </c>
      <c r="E7" s="3183">
        <v>11813.55</v>
      </c>
      <c r="F7" s="3183" t="s">
        <v>3056</v>
      </c>
      <c r="G7" s="3183" t="s">
        <v>3045</v>
      </c>
      <c r="H7" s="3183" t="s">
        <v>3046</v>
      </c>
      <c r="I7" s="3183">
        <v>1013</v>
      </c>
      <c r="J7" s="3183">
        <f t="shared" si="0"/>
        <v>900</v>
      </c>
      <c r="K7" s="3183">
        <v>1013</v>
      </c>
      <c r="L7" s="3183">
        <f t="shared" si="1"/>
        <v>900</v>
      </c>
      <c r="M7" s="3183">
        <v>857.49</v>
      </c>
      <c r="N7" s="3183">
        <v>0</v>
      </c>
      <c r="O7" s="3183" t="s">
        <v>3057</v>
      </c>
    </row>
    <row r="8" spans="1:15" s="2939" customFormat="1">
      <c r="A8" s="2939" t="s">
        <v>3058</v>
      </c>
      <c r="B8" s="2939" t="s">
        <v>3042</v>
      </c>
      <c r="C8" s="2939" t="s">
        <v>3043</v>
      </c>
      <c r="D8" s="2939">
        <v>7579</v>
      </c>
      <c r="E8" s="2939">
        <v>8336.9</v>
      </c>
      <c r="F8" s="2939" t="s">
        <v>3044</v>
      </c>
      <c r="G8" s="2939" t="s">
        <v>3045</v>
      </c>
      <c r="H8" s="2939" t="s">
        <v>3046</v>
      </c>
      <c r="I8" s="2939">
        <v>1933</v>
      </c>
      <c r="J8" s="2939">
        <f t="shared" si="0"/>
        <v>2550</v>
      </c>
      <c r="K8" s="2939">
        <v>1933</v>
      </c>
      <c r="L8" s="2939">
        <f t="shared" si="1"/>
        <v>2550</v>
      </c>
      <c r="M8" s="2939">
        <v>2318.61</v>
      </c>
      <c r="N8" s="2939">
        <v>0</v>
      </c>
      <c r="O8" s="2939" t="s">
        <v>3047</v>
      </c>
    </row>
    <row r="9" spans="1:15" s="2939" customFormat="1">
      <c r="A9" s="2939" t="s">
        <v>3059</v>
      </c>
      <c r="B9" s="2939" t="s">
        <v>3042</v>
      </c>
      <c r="C9" s="2939" t="s">
        <v>3043</v>
      </c>
      <c r="D9" s="2939">
        <v>407</v>
      </c>
      <c r="E9" s="2939">
        <v>447.7</v>
      </c>
      <c r="F9" s="2939" t="s">
        <v>3044</v>
      </c>
      <c r="G9" s="2939" t="s">
        <v>3045</v>
      </c>
      <c r="H9" s="2939" t="s">
        <v>3046</v>
      </c>
      <c r="I9" s="2939">
        <v>104</v>
      </c>
      <c r="J9" s="2939">
        <f t="shared" si="0"/>
        <v>2555</v>
      </c>
      <c r="K9" s="2939">
        <v>104</v>
      </c>
      <c r="L9" s="2939">
        <f t="shared" si="1"/>
        <v>2555</v>
      </c>
      <c r="M9" s="2939">
        <v>2322.98</v>
      </c>
      <c r="N9" s="2939">
        <v>0</v>
      </c>
      <c r="O9" s="2939" t="s">
        <v>3047</v>
      </c>
    </row>
    <row r="10" spans="1:15" s="3183" customFormat="1">
      <c r="A10" s="3193" t="s">
        <v>3134</v>
      </c>
      <c r="B10" s="3183" t="s">
        <v>3042</v>
      </c>
      <c r="C10" s="3183" t="s">
        <v>3043</v>
      </c>
      <c r="D10" s="3183">
        <v>780</v>
      </c>
      <c r="E10" s="3183">
        <v>1248</v>
      </c>
      <c r="F10" s="3183" t="s">
        <v>3060</v>
      </c>
      <c r="G10" s="3183" t="s">
        <v>3045</v>
      </c>
      <c r="H10" s="3183" t="s">
        <v>3046</v>
      </c>
      <c r="I10" s="3183">
        <v>171</v>
      </c>
      <c r="J10" s="3183">
        <f t="shared" si="0"/>
        <v>2192</v>
      </c>
      <c r="K10" s="3183">
        <v>171</v>
      </c>
      <c r="L10" s="3183">
        <f t="shared" si="1"/>
        <v>2192</v>
      </c>
      <c r="M10" s="3183">
        <v>1370.19</v>
      </c>
      <c r="N10" s="3183">
        <v>0</v>
      </c>
      <c r="O10" s="3183" t="s">
        <v>3061</v>
      </c>
    </row>
    <row r="11" spans="1:15" s="3184" customFormat="1" ht="12.75">
      <c r="A11" s="3184" t="s">
        <v>3062</v>
      </c>
      <c r="B11" s="3184" t="s">
        <v>3042</v>
      </c>
      <c r="C11" s="3184" t="s">
        <v>3043</v>
      </c>
      <c r="D11" s="3184">
        <v>2440</v>
      </c>
      <c r="E11" s="3184">
        <v>7320</v>
      </c>
      <c r="F11" s="3184" t="s">
        <v>3063</v>
      </c>
      <c r="G11" s="3184" t="s">
        <v>3045</v>
      </c>
      <c r="H11" s="3184" t="s">
        <v>3064</v>
      </c>
      <c r="I11" s="3184">
        <v>2928</v>
      </c>
      <c r="J11" s="3184">
        <f t="shared" si="0"/>
        <v>12000</v>
      </c>
      <c r="K11" s="3184">
        <v>2928</v>
      </c>
      <c r="L11" s="3184">
        <f t="shared" si="1"/>
        <v>12000</v>
      </c>
      <c r="M11" s="3184">
        <v>4000</v>
      </c>
      <c r="N11" s="3184">
        <v>0</v>
      </c>
      <c r="O11" s="3184" t="s">
        <v>3065</v>
      </c>
    </row>
    <row r="12" spans="1:15" s="2939" customFormat="1">
      <c r="A12" s="2939" t="s">
        <v>3066</v>
      </c>
      <c r="B12" s="2939" t="s">
        <v>3042</v>
      </c>
      <c r="C12" s="2939" t="s">
        <v>3043</v>
      </c>
      <c r="D12" s="2939">
        <v>7748</v>
      </c>
      <c r="E12" s="2939">
        <v>19370</v>
      </c>
      <c r="F12" s="2939" t="s">
        <v>3067</v>
      </c>
      <c r="G12" s="2939" t="s">
        <v>3045</v>
      </c>
      <c r="H12" s="2939" t="s">
        <v>3064</v>
      </c>
      <c r="I12" s="2939">
        <v>11620</v>
      </c>
      <c r="J12" s="2939">
        <f t="shared" si="0"/>
        <v>14997</v>
      </c>
      <c r="K12" s="2939">
        <v>11620</v>
      </c>
      <c r="L12" s="2939">
        <f t="shared" si="1"/>
        <v>14997</v>
      </c>
      <c r="M12" s="2939">
        <v>5998.97</v>
      </c>
      <c r="N12" s="2939">
        <v>0</v>
      </c>
      <c r="O12" s="2939" t="s">
        <v>3068</v>
      </c>
    </row>
    <row r="13" spans="1:15" s="2939" customFormat="1">
      <c r="A13" s="2939" t="s">
        <v>3069</v>
      </c>
      <c r="B13" s="2939" t="s">
        <v>3042</v>
      </c>
      <c r="C13" s="2939" t="s">
        <v>3043</v>
      </c>
      <c r="D13" s="2939">
        <v>117</v>
      </c>
      <c r="E13" s="2939">
        <v>222.3</v>
      </c>
      <c r="F13" s="2939" t="s">
        <v>3070</v>
      </c>
      <c r="G13" s="2939" t="s">
        <v>3045</v>
      </c>
      <c r="H13" s="2939" t="s">
        <v>3064</v>
      </c>
      <c r="I13" s="2939">
        <v>81</v>
      </c>
      <c r="J13" s="2939">
        <f t="shared" si="0"/>
        <v>6940</v>
      </c>
      <c r="K13" s="2939">
        <v>81.2</v>
      </c>
      <c r="L13" s="2939">
        <f t="shared" si="1"/>
        <v>6940</v>
      </c>
      <c r="M13" s="2939">
        <v>3652.71</v>
      </c>
      <c r="N13" s="2939">
        <v>0.25</v>
      </c>
      <c r="O13" s="2939" t="s">
        <v>3071</v>
      </c>
    </row>
    <row r="14" spans="1:15" s="2939" customFormat="1">
      <c r="A14" s="2939" t="s">
        <v>3072</v>
      </c>
      <c r="B14" s="2939" t="s">
        <v>3042</v>
      </c>
      <c r="C14" s="2939" t="s">
        <v>3043</v>
      </c>
      <c r="D14" s="2939">
        <v>45781</v>
      </c>
      <c r="E14" s="2939">
        <v>82405.8</v>
      </c>
      <c r="F14" s="2939" t="s">
        <v>3073</v>
      </c>
      <c r="G14" s="2939" t="s">
        <v>3045</v>
      </c>
      <c r="H14" s="2939" t="s">
        <v>3064</v>
      </c>
      <c r="I14" s="2939">
        <v>32962</v>
      </c>
      <c r="J14" s="2939">
        <f t="shared" si="0"/>
        <v>7309</v>
      </c>
      <c r="K14" s="2939">
        <v>33462</v>
      </c>
      <c r="L14" s="2939">
        <f t="shared" si="1"/>
        <v>7309</v>
      </c>
      <c r="M14" s="2939">
        <v>4060.63</v>
      </c>
      <c r="N14" s="2939">
        <v>1.52</v>
      </c>
      <c r="O14" s="2939" t="s">
        <v>3074</v>
      </c>
    </row>
    <row r="15" spans="1:15" s="2939" customFormat="1">
      <c r="A15" s="2939" t="s">
        <v>3075</v>
      </c>
      <c r="B15" s="2939" t="s">
        <v>3042</v>
      </c>
      <c r="C15" s="2939" t="s">
        <v>3043</v>
      </c>
      <c r="D15" s="2939">
        <v>38731</v>
      </c>
      <c r="E15" s="2939">
        <v>69715.8</v>
      </c>
      <c r="F15" s="2939" t="s">
        <v>3073</v>
      </c>
      <c r="G15" s="2939" t="s">
        <v>3045</v>
      </c>
      <c r="H15" s="2939" t="s">
        <v>3064</v>
      </c>
      <c r="I15" s="2939">
        <v>27888</v>
      </c>
      <c r="J15" s="2939">
        <f t="shared" si="0"/>
        <v>7355</v>
      </c>
      <c r="K15" s="2939">
        <v>28488</v>
      </c>
      <c r="L15" s="2939">
        <f t="shared" si="1"/>
        <v>7355</v>
      </c>
      <c r="M15" s="2939">
        <v>4086.3</v>
      </c>
      <c r="N15" s="2939">
        <v>2.15</v>
      </c>
      <c r="O15" s="2939" t="s">
        <v>3076</v>
      </c>
    </row>
    <row r="16" spans="1:15" s="3185" customFormat="1">
      <c r="A16" s="3186" t="s">
        <v>3135</v>
      </c>
      <c r="B16" s="3185" t="s">
        <v>3042</v>
      </c>
      <c r="C16" s="3185" t="s">
        <v>3043</v>
      </c>
      <c r="D16" s="3185">
        <v>16514</v>
      </c>
      <c r="E16" s="3185">
        <v>18165.400000000001</v>
      </c>
      <c r="F16" s="3185" t="s">
        <v>3044</v>
      </c>
      <c r="G16" s="3185" t="s">
        <v>3045</v>
      </c>
      <c r="H16" s="3185" t="s">
        <v>3077</v>
      </c>
      <c r="I16" s="3185">
        <v>2477</v>
      </c>
      <c r="J16" s="2939">
        <f t="shared" si="0"/>
        <v>1500</v>
      </c>
      <c r="K16" s="3185">
        <v>2477</v>
      </c>
      <c r="L16" s="2939">
        <f t="shared" si="1"/>
        <v>1500</v>
      </c>
      <c r="M16" s="3185">
        <v>1363.57</v>
      </c>
      <c r="N16" s="3185">
        <v>0</v>
      </c>
      <c r="O16" s="3185" t="s">
        <v>3078</v>
      </c>
    </row>
    <row r="17" spans="1:15" s="2939" customFormat="1">
      <c r="A17" s="2939" t="s">
        <v>3079</v>
      </c>
      <c r="B17" s="2939" t="s">
        <v>3042</v>
      </c>
      <c r="C17" s="2939" t="s">
        <v>3043</v>
      </c>
      <c r="D17" s="2939">
        <v>68196</v>
      </c>
      <c r="E17" s="2939">
        <v>136392</v>
      </c>
      <c r="F17" s="2939" t="s">
        <v>3080</v>
      </c>
      <c r="G17" s="2939" t="s">
        <v>3045</v>
      </c>
      <c r="H17" s="2939" t="s">
        <v>3081</v>
      </c>
      <c r="I17" s="2939">
        <v>22504</v>
      </c>
      <c r="J17" s="2939">
        <f t="shared" si="0"/>
        <v>3300</v>
      </c>
      <c r="K17" s="2939">
        <v>22504</v>
      </c>
      <c r="L17" s="2939">
        <f t="shared" si="1"/>
        <v>3300</v>
      </c>
      <c r="M17" s="2939">
        <v>1649.95</v>
      </c>
      <c r="N17" s="2939">
        <v>0</v>
      </c>
      <c r="O17" s="2939" t="s">
        <v>3082</v>
      </c>
    </row>
    <row r="18" spans="1:15" s="2939" customFormat="1">
      <c r="A18" s="2939" t="s">
        <v>3079</v>
      </c>
      <c r="B18" s="2939" t="s">
        <v>3042</v>
      </c>
      <c r="C18" s="2939" t="s">
        <v>3043</v>
      </c>
      <c r="D18" s="2939">
        <v>54838</v>
      </c>
      <c r="E18" s="2939">
        <v>109676</v>
      </c>
      <c r="F18" s="2939" t="s">
        <v>3080</v>
      </c>
      <c r="G18" s="2939" t="s">
        <v>3045</v>
      </c>
      <c r="H18" s="2939" t="s">
        <v>3081</v>
      </c>
      <c r="I18" s="2939">
        <v>18097</v>
      </c>
      <c r="J18" s="2939">
        <f t="shared" si="0"/>
        <v>3300</v>
      </c>
      <c r="K18" s="2939">
        <v>18097</v>
      </c>
      <c r="L18" s="2939">
        <f t="shared" si="1"/>
        <v>3300</v>
      </c>
      <c r="M18" s="2939">
        <v>1650.03</v>
      </c>
      <c r="N18" s="2939">
        <v>0</v>
      </c>
      <c r="O18" s="2939" t="s">
        <v>3082</v>
      </c>
    </row>
    <row r="19" spans="1:15" s="3183" customFormat="1">
      <c r="A19" s="3183" t="s">
        <v>3079</v>
      </c>
      <c r="B19" s="3183" t="s">
        <v>3042</v>
      </c>
      <c r="C19" s="3183" t="s">
        <v>3043</v>
      </c>
      <c r="D19" s="3183">
        <v>68481</v>
      </c>
      <c r="E19" s="3183">
        <v>136962</v>
      </c>
      <c r="F19" s="3183" t="s">
        <v>3080</v>
      </c>
      <c r="G19" s="3183" t="s">
        <v>3045</v>
      </c>
      <c r="H19" s="3183" t="s">
        <v>3081</v>
      </c>
      <c r="I19" s="3183">
        <v>22598</v>
      </c>
      <c r="J19" s="3183">
        <f t="shared" si="0"/>
        <v>3300</v>
      </c>
      <c r="K19" s="3183">
        <v>22598</v>
      </c>
      <c r="L19" s="3183">
        <f t="shared" si="1"/>
        <v>3300</v>
      </c>
      <c r="M19" s="3183">
        <v>1649.95</v>
      </c>
      <c r="N19" s="3183">
        <v>0</v>
      </c>
      <c r="O19" s="3183" t="s">
        <v>3082</v>
      </c>
    </row>
    <row r="20" spans="1:15" s="2939" customFormat="1">
      <c r="A20" s="2939" t="s">
        <v>3083</v>
      </c>
      <c r="B20" s="2939" t="s">
        <v>3042</v>
      </c>
      <c r="C20" s="2939" t="s">
        <v>3043</v>
      </c>
      <c r="D20" s="2939">
        <v>53873</v>
      </c>
      <c r="E20" s="2939">
        <v>107746</v>
      </c>
      <c r="F20" s="2939" t="s">
        <v>3080</v>
      </c>
      <c r="G20" s="2939" t="s">
        <v>3045</v>
      </c>
      <c r="H20" s="2939" t="s">
        <v>3084</v>
      </c>
      <c r="I20" s="2939">
        <v>51718</v>
      </c>
      <c r="J20" s="2939">
        <f t="shared" si="0"/>
        <v>9671</v>
      </c>
      <c r="K20" s="2939">
        <v>52100</v>
      </c>
      <c r="L20" s="2939">
        <f t="shared" si="1"/>
        <v>9671</v>
      </c>
      <c r="M20" s="2939">
        <v>4835.4399999999996</v>
      </c>
      <c r="N20" s="2939">
        <v>0.74</v>
      </c>
      <c r="O20" s="2939" t="s">
        <v>3085</v>
      </c>
    </row>
    <row r="21" spans="1:15" s="2939" customFormat="1">
      <c r="A21" s="2939" t="s">
        <v>3086</v>
      </c>
      <c r="B21" s="2939" t="s">
        <v>3042</v>
      </c>
      <c r="C21" s="2939" t="s">
        <v>3043</v>
      </c>
      <c r="D21" s="2939">
        <v>6737</v>
      </c>
      <c r="E21" s="2939">
        <v>17516.2</v>
      </c>
      <c r="F21" s="2939" t="s">
        <v>3087</v>
      </c>
      <c r="G21" s="2939" t="s">
        <v>3045</v>
      </c>
      <c r="H21" s="2939" t="s">
        <v>3088</v>
      </c>
      <c r="I21" s="2939">
        <v>4550</v>
      </c>
      <c r="J21" s="2939">
        <f t="shared" si="0"/>
        <v>6754</v>
      </c>
      <c r="K21" s="2939">
        <v>4550</v>
      </c>
      <c r="L21" s="2939">
        <f t="shared" si="1"/>
        <v>6754</v>
      </c>
      <c r="M21" s="2939">
        <v>2597.59</v>
      </c>
      <c r="N21" s="2939">
        <v>0</v>
      </c>
      <c r="O21" s="2939" t="s">
        <v>3071</v>
      </c>
    </row>
    <row r="22" spans="1:15" s="2939" customFormat="1">
      <c r="A22" s="2939" t="s">
        <v>3089</v>
      </c>
      <c r="B22" s="2939" t="s">
        <v>3042</v>
      </c>
      <c r="C22" s="2939" t="s">
        <v>3043</v>
      </c>
      <c r="D22" s="2939">
        <v>476</v>
      </c>
      <c r="E22" s="2939">
        <v>666.4</v>
      </c>
      <c r="F22" s="2939" t="s">
        <v>3090</v>
      </c>
      <c r="G22" s="2939" t="s">
        <v>3045</v>
      </c>
      <c r="H22" s="2939" t="s">
        <v>3088</v>
      </c>
      <c r="I22" s="2939">
        <v>37</v>
      </c>
      <c r="J22" s="2939">
        <f t="shared" si="0"/>
        <v>777</v>
      </c>
      <c r="K22" s="2939">
        <v>37</v>
      </c>
      <c r="L22" s="2939">
        <f t="shared" si="1"/>
        <v>777</v>
      </c>
      <c r="M22" s="2939">
        <v>555.22</v>
      </c>
      <c r="N22" s="2939">
        <v>0</v>
      </c>
      <c r="O22" s="2939" t="s">
        <v>3091</v>
      </c>
    </row>
    <row r="23" spans="1:15" s="3183" customFormat="1">
      <c r="A23" s="3183" t="s">
        <v>3092</v>
      </c>
      <c r="B23" s="3183" t="s">
        <v>3042</v>
      </c>
      <c r="C23" s="3183" t="s">
        <v>3043</v>
      </c>
      <c r="D23" s="3183">
        <v>4678</v>
      </c>
      <c r="E23" s="3183">
        <v>25729</v>
      </c>
      <c r="F23" s="3183" t="s">
        <v>3050</v>
      </c>
      <c r="G23" s="3183" t="s">
        <v>3045</v>
      </c>
      <c r="H23" s="3183" t="s">
        <v>3088</v>
      </c>
      <c r="I23" s="3183">
        <v>3558</v>
      </c>
      <c r="J23" s="3183">
        <f t="shared" si="0"/>
        <v>7606</v>
      </c>
      <c r="K23" s="3183">
        <v>3558</v>
      </c>
      <c r="L23" s="3183">
        <f t="shared" si="1"/>
        <v>7606</v>
      </c>
      <c r="M23" s="3183">
        <v>1382.88</v>
      </c>
      <c r="N23" s="3183">
        <v>0</v>
      </c>
      <c r="O23" s="3183" t="s">
        <v>3093</v>
      </c>
    </row>
    <row r="24" spans="1:15" s="2939" customFormat="1">
      <c r="A24" s="2939" t="s">
        <v>3089</v>
      </c>
      <c r="B24" s="2939" t="s">
        <v>3042</v>
      </c>
      <c r="C24" s="2939" t="s">
        <v>3043</v>
      </c>
      <c r="D24" s="2939">
        <v>7447</v>
      </c>
      <c r="E24" s="2939">
        <v>10425.799999999999</v>
      </c>
      <c r="F24" s="2939" t="s">
        <v>3090</v>
      </c>
      <c r="G24" s="2939" t="s">
        <v>3045</v>
      </c>
      <c r="H24" s="2939" t="s">
        <v>3088</v>
      </c>
      <c r="I24" s="2939">
        <v>579</v>
      </c>
      <c r="J24" s="2939">
        <f t="shared" si="0"/>
        <v>777</v>
      </c>
      <c r="K24" s="2939">
        <v>579</v>
      </c>
      <c r="L24" s="2939">
        <f t="shared" si="1"/>
        <v>777</v>
      </c>
      <c r="M24" s="2939">
        <v>555.35</v>
      </c>
      <c r="N24" s="2939">
        <v>0</v>
      </c>
      <c r="O24" s="2939" t="s">
        <v>3091</v>
      </c>
    </row>
    <row r="25" spans="1:15" s="2939" customFormat="1">
      <c r="A25" s="2939" t="s">
        <v>3094</v>
      </c>
      <c r="B25" s="2939" t="s">
        <v>3042</v>
      </c>
      <c r="C25" s="2939" t="s">
        <v>3043</v>
      </c>
      <c r="D25" s="2939">
        <v>1568</v>
      </c>
      <c r="E25" s="2939">
        <v>3136</v>
      </c>
      <c r="F25" s="2939" t="s">
        <v>3080</v>
      </c>
      <c r="G25" s="2939" t="s">
        <v>3045</v>
      </c>
      <c r="H25" s="2939" t="s">
        <v>3088</v>
      </c>
      <c r="I25" s="2939">
        <v>2350</v>
      </c>
      <c r="J25" s="2939">
        <f t="shared" si="0"/>
        <v>14987</v>
      </c>
      <c r="K25" s="2939">
        <v>2350</v>
      </c>
      <c r="L25" s="2939">
        <f t="shared" si="1"/>
        <v>14987</v>
      </c>
      <c r="M25" s="2939">
        <v>7493.61</v>
      </c>
      <c r="N25" s="2939">
        <v>0</v>
      </c>
      <c r="O25" s="2939" t="s">
        <v>3095</v>
      </c>
    </row>
    <row r="26" spans="1:15" s="2939" customFormat="1">
      <c r="A26" s="2939" t="s">
        <v>3096</v>
      </c>
      <c r="B26" s="2939" t="s">
        <v>3042</v>
      </c>
      <c r="C26" s="2939" t="s">
        <v>3043</v>
      </c>
      <c r="D26" s="2939">
        <v>2815</v>
      </c>
      <c r="E26" s="2939">
        <v>7037.5</v>
      </c>
      <c r="F26" s="2939" t="s">
        <v>3067</v>
      </c>
      <c r="G26" s="2939" t="s">
        <v>3045</v>
      </c>
      <c r="H26" s="2939" t="s">
        <v>3088</v>
      </c>
      <c r="I26" s="2939">
        <v>4220</v>
      </c>
      <c r="J26" s="2939">
        <f t="shared" si="0"/>
        <v>14991</v>
      </c>
      <c r="K26" s="2939">
        <v>4220</v>
      </c>
      <c r="L26" s="2939">
        <f t="shared" si="1"/>
        <v>14991</v>
      </c>
      <c r="M26" s="2939">
        <v>5996.44</v>
      </c>
      <c r="N26" s="2939">
        <v>0</v>
      </c>
      <c r="O26" s="2939" t="s">
        <v>3097</v>
      </c>
    </row>
    <row r="27" spans="1:15" s="2939" customFormat="1">
      <c r="A27" s="2939" t="s">
        <v>3098</v>
      </c>
      <c r="B27" s="2939" t="s">
        <v>3042</v>
      </c>
      <c r="C27" s="2939" t="s">
        <v>3043</v>
      </c>
      <c r="D27" s="2939">
        <v>63792</v>
      </c>
      <c r="E27" s="2939">
        <v>127584</v>
      </c>
      <c r="F27" s="2939" t="s">
        <v>3080</v>
      </c>
      <c r="G27" s="2939" t="s">
        <v>3045</v>
      </c>
      <c r="H27" s="2939" t="s">
        <v>3088</v>
      </c>
      <c r="I27" s="2939">
        <v>5231</v>
      </c>
      <c r="J27" s="2939">
        <f t="shared" si="0"/>
        <v>820</v>
      </c>
      <c r="K27" s="2939">
        <v>5231</v>
      </c>
      <c r="L27" s="2939">
        <f t="shared" si="1"/>
        <v>820</v>
      </c>
      <c r="M27" s="2939">
        <v>410</v>
      </c>
      <c r="N27" s="2939">
        <v>0</v>
      </c>
      <c r="O27" s="2939" t="s">
        <v>3099</v>
      </c>
    </row>
    <row r="28" spans="1:15" s="2939" customFormat="1">
      <c r="A28" s="2939" t="s">
        <v>3100</v>
      </c>
      <c r="B28" s="2939" t="s">
        <v>3042</v>
      </c>
      <c r="C28" s="2939" t="s">
        <v>3043</v>
      </c>
      <c r="D28" s="2939">
        <v>52384</v>
      </c>
      <c r="E28" s="2939">
        <v>130960</v>
      </c>
      <c r="F28" s="2939" t="s">
        <v>3067</v>
      </c>
      <c r="G28" s="2939" t="s">
        <v>3045</v>
      </c>
      <c r="H28" s="2939" t="s">
        <v>3088</v>
      </c>
      <c r="I28" s="2939">
        <v>78580</v>
      </c>
      <c r="J28" s="2939">
        <f t="shared" si="0"/>
        <v>15096</v>
      </c>
      <c r="K28" s="2939">
        <v>79080</v>
      </c>
      <c r="L28" s="2939">
        <f t="shared" si="1"/>
        <v>15096</v>
      </c>
      <c r="M28" s="2939">
        <v>6038.48</v>
      </c>
      <c r="N28" s="2939">
        <v>0.64</v>
      </c>
      <c r="O28" s="2939" t="s">
        <v>3097</v>
      </c>
    </row>
    <row r="29" spans="1:15" s="3183" customFormat="1">
      <c r="A29" s="3183" t="s">
        <v>3101</v>
      </c>
      <c r="B29" s="3183" t="s">
        <v>3042</v>
      </c>
      <c r="C29" s="3183" t="s">
        <v>3043</v>
      </c>
      <c r="D29" s="3183">
        <v>16086</v>
      </c>
      <c r="E29" s="3183">
        <v>32172</v>
      </c>
      <c r="F29" s="3183" t="s">
        <v>3080</v>
      </c>
      <c r="G29" s="3183" t="s">
        <v>3045</v>
      </c>
      <c r="H29" s="3183" t="s">
        <v>3088</v>
      </c>
      <c r="I29" s="3183">
        <v>1271</v>
      </c>
      <c r="J29" s="3183">
        <f t="shared" si="0"/>
        <v>790</v>
      </c>
      <c r="K29" s="3183">
        <v>1271</v>
      </c>
      <c r="L29" s="3183">
        <f t="shared" si="1"/>
        <v>790</v>
      </c>
      <c r="M29" s="3183">
        <v>395.06</v>
      </c>
      <c r="N29" s="3183">
        <v>0</v>
      </c>
      <c r="O29" s="3183" t="s">
        <v>3102</v>
      </c>
    </row>
    <row r="30" spans="1:15" s="3185" customFormat="1">
      <c r="A30" s="3186" t="s">
        <v>3136</v>
      </c>
      <c r="B30" s="3185" t="s">
        <v>3042</v>
      </c>
      <c r="C30" s="3185" t="s">
        <v>3043</v>
      </c>
      <c r="D30" s="3185">
        <v>6454</v>
      </c>
      <c r="E30" s="3185">
        <v>10326.4</v>
      </c>
      <c r="F30" s="3185" t="s">
        <v>3060</v>
      </c>
      <c r="G30" s="3185" t="s">
        <v>3045</v>
      </c>
      <c r="H30" s="3185" t="s">
        <v>3088</v>
      </c>
      <c r="I30" s="3185">
        <v>1307</v>
      </c>
      <c r="J30" s="2939">
        <f t="shared" si="0"/>
        <v>2025</v>
      </c>
      <c r="K30" s="3185">
        <v>1307</v>
      </c>
      <c r="L30" s="2939">
        <f t="shared" si="1"/>
        <v>2025</v>
      </c>
      <c r="M30" s="3185">
        <v>1265.69</v>
      </c>
      <c r="N30" s="3185">
        <v>0</v>
      </c>
      <c r="O30" s="3185" t="s">
        <v>3104</v>
      </c>
    </row>
    <row r="31" spans="1:15" s="2939" customFormat="1">
      <c r="A31" s="2939" t="s">
        <v>3105</v>
      </c>
      <c r="B31" s="2939" t="s">
        <v>3042</v>
      </c>
      <c r="C31" s="2939" t="s">
        <v>3043</v>
      </c>
      <c r="D31" s="2939">
        <v>67422</v>
      </c>
      <c r="E31" s="2939">
        <v>148328.4</v>
      </c>
      <c r="F31" s="2939" t="s">
        <v>3106</v>
      </c>
      <c r="G31" s="2939" t="s">
        <v>3045</v>
      </c>
      <c r="H31" s="2939" t="s">
        <v>3088</v>
      </c>
      <c r="I31" s="2939">
        <v>7281</v>
      </c>
      <c r="J31" s="2939">
        <f t="shared" si="0"/>
        <v>1080</v>
      </c>
      <c r="K31" s="2939">
        <v>7281</v>
      </c>
      <c r="L31" s="2939">
        <f t="shared" si="1"/>
        <v>1080</v>
      </c>
      <c r="M31" s="2939">
        <v>490.87</v>
      </c>
      <c r="N31" s="2939">
        <v>0</v>
      </c>
      <c r="O31" s="2939" t="s">
        <v>3107</v>
      </c>
    </row>
    <row r="32" spans="1:15" s="2939" customFormat="1">
      <c r="A32" s="2939" t="s">
        <v>3101</v>
      </c>
      <c r="B32" s="2939" t="s">
        <v>3042</v>
      </c>
      <c r="C32" s="2939" t="s">
        <v>3043</v>
      </c>
      <c r="D32" s="2939">
        <v>10565</v>
      </c>
      <c r="E32" s="2939">
        <v>21130</v>
      </c>
      <c r="F32" s="2939" t="s">
        <v>3080</v>
      </c>
      <c r="G32" s="2939" t="s">
        <v>3045</v>
      </c>
      <c r="H32" s="2939" t="s">
        <v>3088</v>
      </c>
      <c r="I32" s="2939">
        <v>835</v>
      </c>
      <c r="J32" s="2939">
        <f t="shared" si="0"/>
        <v>790</v>
      </c>
      <c r="K32" s="2939">
        <v>835</v>
      </c>
      <c r="L32" s="2939">
        <f t="shared" si="1"/>
        <v>790</v>
      </c>
      <c r="M32" s="2939">
        <v>395.17</v>
      </c>
      <c r="N32" s="2939">
        <v>0</v>
      </c>
      <c r="O32" s="2939" t="s">
        <v>3102</v>
      </c>
    </row>
    <row r="33" spans="1:15" s="2939" customFormat="1">
      <c r="A33" s="2939" t="s">
        <v>3105</v>
      </c>
      <c r="B33" s="2939" t="s">
        <v>3042</v>
      </c>
      <c r="C33" s="2939" t="s">
        <v>3043</v>
      </c>
      <c r="D33" s="2939">
        <v>57586</v>
      </c>
      <c r="E33" s="2939">
        <v>126689.2</v>
      </c>
      <c r="F33" s="2939" t="s">
        <v>3106</v>
      </c>
      <c r="G33" s="2939" t="s">
        <v>3045</v>
      </c>
      <c r="H33" s="2939" t="s">
        <v>3088</v>
      </c>
      <c r="I33" s="2939">
        <v>6219</v>
      </c>
      <c r="J33" s="2939">
        <f t="shared" si="0"/>
        <v>1080</v>
      </c>
      <c r="K33" s="2939">
        <v>6219</v>
      </c>
      <c r="L33" s="2939">
        <f t="shared" si="1"/>
        <v>1080</v>
      </c>
      <c r="M33" s="2939">
        <v>490.88</v>
      </c>
      <c r="N33" s="2939">
        <v>0</v>
      </c>
      <c r="O33" s="2939" t="s">
        <v>3107</v>
      </c>
    </row>
    <row r="34" spans="1:15" s="3183" customFormat="1">
      <c r="A34" s="3183" t="s">
        <v>3103</v>
      </c>
      <c r="B34" s="3183" t="s">
        <v>3042</v>
      </c>
      <c r="C34" s="3183" t="s">
        <v>3043</v>
      </c>
      <c r="D34" s="3183">
        <v>896</v>
      </c>
      <c r="E34" s="3183">
        <v>1433.6</v>
      </c>
      <c r="F34" s="3183" t="s">
        <v>3060</v>
      </c>
      <c r="G34" s="3183" t="s">
        <v>3045</v>
      </c>
      <c r="H34" s="3183" t="s">
        <v>3088</v>
      </c>
      <c r="I34" s="3183">
        <v>181</v>
      </c>
      <c r="J34" s="3183">
        <f t="shared" ref="J34:J51" si="2">ROUND(K34*10000/D34,0)</f>
        <v>2020</v>
      </c>
      <c r="K34" s="3183">
        <v>181</v>
      </c>
      <c r="L34" s="3183">
        <f t="shared" si="1"/>
        <v>2020</v>
      </c>
      <c r="M34" s="3183">
        <v>1262.55</v>
      </c>
      <c r="N34" s="3183">
        <v>0</v>
      </c>
      <c r="O34" s="3183" t="s">
        <v>3104</v>
      </c>
    </row>
    <row r="35" spans="1:15" s="2939" customFormat="1">
      <c r="A35" s="2939" t="s">
        <v>3108</v>
      </c>
      <c r="B35" s="2939" t="s">
        <v>3042</v>
      </c>
      <c r="C35" s="2939" t="s">
        <v>3043</v>
      </c>
      <c r="D35" s="2939">
        <v>2651</v>
      </c>
      <c r="E35" s="2939">
        <v>5036.8999999999996</v>
      </c>
      <c r="F35" s="2939" t="s">
        <v>3070</v>
      </c>
      <c r="G35" s="2939" t="s">
        <v>3045</v>
      </c>
      <c r="H35" s="2939" t="s">
        <v>3088</v>
      </c>
      <c r="I35" s="2939">
        <v>1791</v>
      </c>
      <c r="J35" s="2939">
        <f t="shared" si="2"/>
        <v>6756</v>
      </c>
      <c r="K35" s="2939">
        <v>1791</v>
      </c>
      <c r="L35" s="2939">
        <f t="shared" si="1"/>
        <v>6756</v>
      </c>
      <c r="M35" s="2939">
        <v>3555.76</v>
      </c>
      <c r="N35" s="2939">
        <v>0</v>
      </c>
      <c r="O35" s="2939" t="s">
        <v>3071</v>
      </c>
    </row>
    <row r="36" spans="1:15" s="2939" customFormat="1">
      <c r="A36" s="2939" t="s">
        <v>3105</v>
      </c>
      <c r="B36" s="2939" t="s">
        <v>3042</v>
      </c>
      <c r="C36" s="2939" t="s">
        <v>3043</v>
      </c>
      <c r="D36" s="2939">
        <v>67505</v>
      </c>
      <c r="E36" s="2939">
        <v>148511</v>
      </c>
      <c r="F36" s="2939" t="s">
        <v>3106</v>
      </c>
      <c r="G36" s="2939" t="s">
        <v>3045</v>
      </c>
      <c r="H36" s="2939" t="s">
        <v>3088</v>
      </c>
      <c r="I36" s="2939">
        <v>7291</v>
      </c>
      <c r="J36" s="2939">
        <f t="shared" si="2"/>
        <v>1080</v>
      </c>
      <c r="K36" s="2939">
        <v>7291</v>
      </c>
      <c r="L36" s="2939">
        <f t="shared" si="1"/>
        <v>1080</v>
      </c>
      <c r="M36" s="2939">
        <v>490.93</v>
      </c>
      <c r="N36" s="2939">
        <v>0</v>
      </c>
      <c r="O36" s="2939" t="s">
        <v>3107</v>
      </c>
    </row>
    <row r="37" spans="1:15" s="2939" customFormat="1">
      <c r="A37" s="2939" t="s">
        <v>3109</v>
      </c>
      <c r="B37" s="2939" t="s">
        <v>3042</v>
      </c>
      <c r="C37" s="2939" t="s">
        <v>3043</v>
      </c>
      <c r="D37" s="2939">
        <v>18160</v>
      </c>
      <c r="E37" s="2939">
        <v>49032</v>
      </c>
      <c r="F37" s="2939" t="s">
        <v>3110</v>
      </c>
      <c r="G37" s="2939" t="s">
        <v>3045</v>
      </c>
      <c r="H37" s="2939" t="s">
        <v>3111</v>
      </c>
      <c r="I37" s="2939">
        <v>5448</v>
      </c>
      <c r="J37" s="2939">
        <f t="shared" si="2"/>
        <v>3000</v>
      </c>
      <c r="K37" s="2939">
        <v>5448</v>
      </c>
      <c r="L37" s="2939">
        <f t="shared" si="1"/>
        <v>3000</v>
      </c>
      <c r="M37" s="2939">
        <v>1111.0999999999999</v>
      </c>
      <c r="N37" s="2939">
        <v>0</v>
      </c>
      <c r="O37" s="2939" t="s">
        <v>3112</v>
      </c>
    </row>
    <row r="38" spans="1:15" s="2939" customFormat="1">
      <c r="A38" s="2939" t="s">
        <v>3113</v>
      </c>
      <c r="B38" s="2939" t="s">
        <v>3042</v>
      </c>
      <c r="C38" s="2939" t="s">
        <v>3043</v>
      </c>
      <c r="D38" s="2939">
        <v>61593</v>
      </c>
      <c r="E38" s="2939">
        <v>141663.9</v>
      </c>
      <c r="F38" s="2939" t="s">
        <v>3114</v>
      </c>
      <c r="G38" s="2939" t="s">
        <v>3045</v>
      </c>
      <c r="H38" s="2939" t="s">
        <v>3115</v>
      </c>
      <c r="I38" s="2939">
        <v>18478</v>
      </c>
      <c r="J38" s="2939">
        <f t="shared" si="2"/>
        <v>3000</v>
      </c>
      <c r="K38" s="2939">
        <v>18478</v>
      </c>
      <c r="L38" s="2939">
        <f t="shared" si="1"/>
        <v>3000</v>
      </c>
      <c r="M38" s="2939">
        <v>1304.3399999999999</v>
      </c>
      <c r="N38" s="2939">
        <v>0</v>
      </c>
      <c r="O38" s="2939" t="s">
        <v>3116</v>
      </c>
    </row>
    <row r="39" spans="1:15" s="3191" customFormat="1">
      <c r="A39" s="3192" t="s">
        <v>3148</v>
      </c>
      <c r="B39" s="3191" t="s">
        <v>3042</v>
      </c>
      <c r="C39" s="3191" t="s">
        <v>3043</v>
      </c>
      <c r="D39" s="3191">
        <v>26269</v>
      </c>
      <c r="E39" s="3191">
        <v>55164.9</v>
      </c>
      <c r="F39" s="3191" t="s">
        <v>3117</v>
      </c>
      <c r="G39" s="3191" t="s">
        <v>3045</v>
      </c>
      <c r="H39" s="3191" t="s">
        <v>3115</v>
      </c>
      <c r="I39" s="3191">
        <v>7880</v>
      </c>
      <c r="J39" s="3191">
        <f t="shared" si="2"/>
        <v>3000</v>
      </c>
      <c r="K39" s="3191">
        <v>7880</v>
      </c>
      <c r="L39" s="3191">
        <f t="shared" si="1"/>
        <v>3000</v>
      </c>
      <c r="M39" s="3191">
        <v>1428.44</v>
      </c>
      <c r="N39" s="3191">
        <v>0</v>
      </c>
      <c r="O39" s="3191" t="s">
        <v>3116</v>
      </c>
    </row>
    <row r="40" spans="1:15" s="2939" customFormat="1">
      <c r="A40" s="2939" t="s">
        <v>3118</v>
      </c>
      <c r="B40" s="2939" t="s">
        <v>3042</v>
      </c>
      <c r="C40" s="2939" t="s">
        <v>3043</v>
      </c>
      <c r="D40" s="2939">
        <v>47050</v>
      </c>
      <c r="E40" s="2939">
        <v>98805</v>
      </c>
      <c r="F40" s="2939" t="s">
        <v>3117</v>
      </c>
      <c r="G40" s="2939" t="s">
        <v>3045</v>
      </c>
      <c r="H40" s="2939" t="s">
        <v>3115</v>
      </c>
      <c r="I40" s="2939">
        <v>14116</v>
      </c>
      <c r="J40" s="2939">
        <f t="shared" si="2"/>
        <v>3000</v>
      </c>
      <c r="K40" s="2939">
        <v>14116</v>
      </c>
      <c r="L40" s="2939">
        <f t="shared" si="1"/>
        <v>3000</v>
      </c>
      <c r="M40" s="2939">
        <v>1428.67</v>
      </c>
      <c r="N40" s="2939">
        <v>0</v>
      </c>
      <c r="O40" s="2939" t="s">
        <v>3116</v>
      </c>
    </row>
    <row r="41" spans="1:15" s="2939" customFormat="1">
      <c r="A41" s="2939" t="s">
        <v>3119</v>
      </c>
      <c r="B41" s="2939" t="s">
        <v>3042</v>
      </c>
      <c r="C41" s="2939" t="s">
        <v>3043</v>
      </c>
      <c r="D41" s="2939">
        <v>44664</v>
      </c>
      <c r="E41" s="2939">
        <v>120592.8</v>
      </c>
      <c r="F41" s="2939" t="s">
        <v>3110</v>
      </c>
      <c r="G41" s="2939" t="s">
        <v>3045</v>
      </c>
      <c r="H41" s="2939" t="s">
        <v>3115</v>
      </c>
      <c r="I41" s="2939">
        <v>13400</v>
      </c>
      <c r="J41" s="2939">
        <f t="shared" si="2"/>
        <v>3000</v>
      </c>
      <c r="K41" s="2939">
        <v>13400</v>
      </c>
      <c r="L41" s="2939">
        <f t="shared" si="1"/>
        <v>3000</v>
      </c>
      <c r="M41" s="2939">
        <v>1111.18</v>
      </c>
      <c r="N41" s="2939">
        <v>0</v>
      </c>
      <c r="O41" s="2939" t="s">
        <v>3116</v>
      </c>
    </row>
    <row r="42" spans="1:15" s="2939" customFormat="1">
      <c r="A42" s="2939" t="s">
        <v>3120</v>
      </c>
      <c r="B42" s="2939" t="s">
        <v>3042</v>
      </c>
      <c r="C42" s="2939" t="s">
        <v>3043</v>
      </c>
      <c r="D42" s="2939">
        <v>26026</v>
      </c>
      <c r="E42" s="2939">
        <v>62462.400000000001</v>
      </c>
      <c r="F42" s="2939" t="s">
        <v>3121</v>
      </c>
      <c r="G42" s="2939" t="s">
        <v>3045</v>
      </c>
      <c r="H42" s="2939" t="s">
        <v>3115</v>
      </c>
      <c r="I42" s="2939">
        <v>7808</v>
      </c>
      <c r="J42" s="2939">
        <f t="shared" si="2"/>
        <v>3000</v>
      </c>
      <c r="K42" s="2939">
        <v>7808</v>
      </c>
      <c r="L42" s="2939">
        <f t="shared" si="1"/>
        <v>3000</v>
      </c>
      <c r="M42" s="2939">
        <v>1250.02</v>
      </c>
      <c r="N42" s="2939">
        <v>0</v>
      </c>
      <c r="O42" s="2939" t="s">
        <v>3116</v>
      </c>
    </row>
    <row r="43" spans="1:15" s="2939" customFormat="1">
      <c r="A43" s="2939" t="s">
        <v>3122</v>
      </c>
      <c r="B43" s="2939" t="s">
        <v>3042</v>
      </c>
      <c r="C43" s="2939" t="s">
        <v>3043</v>
      </c>
      <c r="D43" s="2939">
        <v>44909</v>
      </c>
      <c r="E43" s="2939">
        <v>76345.3</v>
      </c>
      <c r="F43" s="2939" t="s">
        <v>3123</v>
      </c>
      <c r="G43" s="2939" t="s">
        <v>3045</v>
      </c>
      <c r="H43" s="2939" t="s">
        <v>3115</v>
      </c>
      <c r="I43" s="2939">
        <v>13472</v>
      </c>
      <c r="J43" s="2939">
        <f t="shared" si="2"/>
        <v>3000</v>
      </c>
      <c r="K43" s="2939">
        <v>13472</v>
      </c>
      <c r="L43" s="2939">
        <f t="shared" si="1"/>
        <v>3000</v>
      </c>
      <c r="M43" s="2939">
        <v>1764.6</v>
      </c>
      <c r="N43" s="2939">
        <v>0</v>
      </c>
      <c r="O43" s="2939" t="s">
        <v>3116</v>
      </c>
    </row>
    <row r="44" spans="1:15" s="2939" customFormat="1">
      <c r="A44" s="2939" t="s">
        <v>3124</v>
      </c>
      <c r="B44" s="2939" t="s">
        <v>3042</v>
      </c>
      <c r="C44" s="2939" t="s">
        <v>3043</v>
      </c>
      <c r="D44" s="2939">
        <v>36101</v>
      </c>
      <c r="E44" s="2939">
        <v>54151.5</v>
      </c>
      <c r="F44" s="2939" t="s">
        <v>3125</v>
      </c>
      <c r="G44" s="2939" t="s">
        <v>3045</v>
      </c>
      <c r="H44" s="2939" t="s">
        <v>3115</v>
      </c>
      <c r="I44" s="2939">
        <v>10830</v>
      </c>
      <c r="J44" s="2939">
        <f t="shared" si="2"/>
        <v>3000</v>
      </c>
      <c r="K44" s="2939">
        <v>10830</v>
      </c>
      <c r="L44" s="2939">
        <f t="shared" si="1"/>
        <v>3000</v>
      </c>
      <c r="M44" s="2939">
        <v>1999.94</v>
      </c>
      <c r="N44" s="2939">
        <v>0</v>
      </c>
      <c r="O44" s="2939" t="s">
        <v>3116</v>
      </c>
    </row>
    <row r="45" spans="1:15" s="2939" customFormat="1">
      <c r="A45" s="2939" t="s">
        <v>3126</v>
      </c>
      <c r="B45" s="2939" t="s">
        <v>3042</v>
      </c>
      <c r="C45" s="2939" t="s">
        <v>3043</v>
      </c>
      <c r="D45" s="2939">
        <v>62004</v>
      </c>
      <c r="E45" s="2939">
        <v>155010</v>
      </c>
      <c r="F45" s="2939" t="s">
        <v>3067</v>
      </c>
      <c r="G45" s="2939" t="s">
        <v>3045</v>
      </c>
      <c r="H45" s="2939" t="s">
        <v>3115</v>
      </c>
      <c r="I45" s="2939">
        <v>18602</v>
      </c>
      <c r="J45" s="2939">
        <f t="shared" si="2"/>
        <v>3000</v>
      </c>
      <c r="K45" s="2939">
        <v>18602</v>
      </c>
      <c r="L45" s="2939">
        <f t="shared" si="1"/>
        <v>3000</v>
      </c>
      <c r="M45" s="2939">
        <v>1200.04</v>
      </c>
      <c r="N45" s="2939">
        <v>0</v>
      </c>
      <c r="O45" s="2939" t="s">
        <v>3116</v>
      </c>
    </row>
    <row r="46" spans="1:15" s="2939" customFormat="1">
      <c r="A46" s="2939" t="s">
        <v>3127</v>
      </c>
      <c r="B46" s="2939" t="s">
        <v>3042</v>
      </c>
      <c r="C46" s="2939" t="s">
        <v>3043</v>
      </c>
      <c r="D46" s="2939">
        <v>64629</v>
      </c>
      <c r="E46" s="2939">
        <v>161572.5</v>
      </c>
      <c r="F46" s="2939" t="s">
        <v>3067</v>
      </c>
      <c r="G46" s="2939" t="s">
        <v>3045</v>
      </c>
      <c r="H46" s="2939" t="s">
        <v>3115</v>
      </c>
      <c r="I46" s="2939">
        <v>19388</v>
      </c>
      <c r="J46" s="2939">
        <f t="shared" si="2"/>
        <v>3000</v>
      </c>
      <c r="K46" s="2939">
        <v>19388</v>
      </c>
      <c r="L46" s="2939">
        <f t="shared" si="1"/>
        <v>3000</v>
      </c>
      <c r="M46" s="2939">
        <v>1199.96</v>
      </c>
      <c r="N46" s="2939">
        <v>0</v>
      </c>
      <c r="O46" s="2939" t="s">
        <v>3116</v>
      </c>
    </row>
    <row r="47" spans="1:15" s="2939" customFormat="1">
      <c r="A47" s="2939" t="s">
        <v>3128</v>
      </c>
      <c r="B47" s="2939" t="s">
        <v>3042</v>
      </c>
      <c r="C47" s="2939" t="s">
        <v>3043</v>
      </c>
      <c r="D47" s="2939">
        <v>22586</v>
      </c>
      <c r="E47" s="2939">
        <v>31620.400000000001</v>
      </c>
      <c r="F47" s="2939" t="s">
        <v>3090</v>
      </c>
      <c r="G47" s="2939" t="s">
        <v>3045</v>
      </c>
      <c r="H47" s="2939" t="s">
        <v>3115</v>
      </c>
      <c r="I47" s="2939">
        <v>6776</v>
      </c>
      <c r="J47" s="2939">
        <f t="shared" si="2"/>
        <v>3000</v>
      </c>
      <c r="K47" s="2939">
        <v>6776</v>
      </c>
      <c r="L47" s="2939">
        <f t="shared" si="1"/>
        <v>3000</v>
      </c>
      <c r="M47" s="2939">
        <v>2142.92</v>
      </c>
      <c r="N47" s="2939">
        <v>0</v>
      </c>
      <c r="O47" s="2939" t="s">
        <v>3116</v>
      </c>
    </row>
    <row r="48" spans="1:15" s="2939" customFormat="1">
      <c r="A48" s="2939" t="s">
        <v>3120</v>
      </c>
      <c r="B48" s="2939" t="s">
        <v>3042</v>
      </c>
      <c r="C48" s="2939" t="s">
        <v>3043</v>
      </c>
      <c r="D48" s="2939">
        <v>51714</v>
      </c>
      <c r="E48" s="2939">
        <v>124113.60000000001</v>
      </c>
      <c r="F48" s="2939" t="s">
        <v>3121</v>
      </c>
      <c r="G48" s="2939" t="s">
        <v>3045</v>
      </c>
      <c r="H48" s="2939" t="s">
        <v>3115</v>
      </c>
      <c r="I48" s="2939">
        <v>15514</v>
      </c>
      <c r="J48" s="2939">
        <f t="shared" si="2"/>
        <v>3000</v>
      </c>
      <c r="K48" s="2939">
        <v>15514</v>
      </c>
      <c r="L48" s="2939">
        <f t="shared" si="1"/>
        <v>3000</v>
      </c>
      <c r="M48" s="2939">
        <v>1249.98</v>
      </c>
      <c r="N48" s="2939">
        <v>0</v>
      </c>
      <c r="O48" s="2939" t="s">
        <v>3116</v>
      </c>
    </row>
    <row r="49" spans="1:15" s="2939" customFormat="1">
      <c r="A49" s="2939" t="s">
        <v>3129</v>
      </c>
      <c r="B49" s="2939" t="s">
        <v>3042</v>
      </c>
      <c r="C49" s="2939" t="s">
        <v>3043</v>
      </c>
      <c r="D49" s="2939">
        <v>54768</v>
      </c>
      <c r="E49" s="2939">
        <v>115012.8</v>
      </c>
      <c r="F49" s="2939" t="s">
        <v>3117</v>
      </c>
      <c r="G49" s="2939" t="s">
        <v>3045</v>
      </c>
      <c r="H49" s="2939" t="s">
        <v>3115</v>
      </c>
      <c r="I49" s="2939">
        <v>16430</v>
      </c>
      <c r="J49" s="2939">
        <f t="shared" si="2"/>
        <v>3000</v>
      </c>
      <c r="K49" s="2939">
        <v>16430</v>
      </c>
      <c r="L49" s="2939">
        <f t="shared" si="1"/>
        <v>3000</v>
      </c>
      <c r="M49" s="2939">
        <v>1428.53</v>
      </c>
      <c r="N49" s="2939">
        <v>0</v>
      </c>
      <c r="O49" s="2939" t="s">
        <v>3116</v>
      </c>
    </row>
    <row r="50" spans="1:15" s="2939" customFormat="1">
      <c r="A50" s="2939" t="s">
        <v>3130</v>
      </c>
      <c r="B50" s="2939" t="s">
        <v>3042</v>
      </c>
      <c r="C50" s="2939" t="s">
        <v>3043</v>
      </c>
      <c r="D50" s="2939">
        <v>56577</v>
      </c>
      <c r="E50" s="2939">
        <v>130127.1</v>
      </c>
      <c r="F50" s="2939" t="s">
        <v>3114</v>
      </c>
      <c r="G50" s="2939" t="s">
        <v>3045</v>
      </c>
      <c r="H50" s="2939" t="s">
        <v>3115</v>
      </c>
      <c r="I50" s="2939">
        <v>16974</v>
      </c>
      <c r="J50" s="2939">
        <f t="shared" si="2"/>
        <v>3000</v>
      </c>
      <c r="K50" s="2939">
        <v>16974</v>
      </c>
      <c r="L50" s="2939">
        <f t="shared" si="1"/>
        <v>3000</v>
      </c>
      <c r="M50" s="2939">
        <v>1304.42</v>
      </c>
      <c r="N50" s="2939">
        <v>0</v>
      </c>
      <c r="O50" s="2939" t="s">
        <v>3116</v>
      </c>
    </row>
    <row r="51" spans="1:15" s="2939" customFormat="1">
      <c r="A51" s="2939" t="s">
        <v>3131</v>
      </c>
      <c r="B51" s="2939" t="s">
        <v>3042</v>
      </c>
      <c r="C51" s="2939" t="s">
        <v>3043</v>
      </c>
      <c r="D51" s="2939">
        <v>36754</v>
      </c>
      <c r="E51" s="2939">
        <v>73508</v>
      </c>
      <c r="F51" s="2939" t="s">
        <v>3080</v>
      </c>
      <c r="G51" s="2939" t="s">
        <v>3045</v>
      </c>
      <c r="H51" s="2939" t="s">
        <v>3132</v>
      </c>
      <c r="I51" s="2939">
        <v>37488</v>
      </c>
      <c r="J51" s="2939">
        <f t="shared" si="2"/>
        <v>14692</v>
      </c>
      <c r="K51" s="2939">
        <v>54000</v>
      </c>
      <c r="L51" s="2939">
        <f t="shared" si="1"/>
        <v>14692</v>
      </c>
      <c r="M51" s="2939">
        <v>7346.14</v>
      </c>
      <c r="N51" s="2939">
        <v>44.05</v>
      </c>
      <c r="O51" s="2939" t="s">
        <v>3133</v>
      </c>
    </row>
    <row r="52" spans="1:15">
      <c r="A52" s="3202" t="s">
        <v>3028</v>
      </c>
      <c r="B52" s="3202" t="s">
        <v>3029</v>
      </c>
      <c r="C52" s="3202" t="s">
        <v>3030</v>
      </c>
      <c r="D52" s="3202" t="s">
        <v>3031</v>
      </c>
      <c r="E52" s="3202" t="s">
        <v>3032</v>
      </c>
      <c r="F52" s="3202" t="s">
        <v>2034</v>
      </c>
      <c r="G52" s="3202" t="s">
        <v>3033</v>
      </c>
      <c r="H52" s="3202" t="s">
        <v>3034</v>
      </c>
      <c r="I52" s="3202" t="s">
        <v>3035</v>
      </c>
      <c r="J52" s="3202" t="s">
        <v>3036</v>
      </c>
      <c r="K52" s="3202" t="s">
        <v>3038</v>
      </c>
      <c r="L52" s="3202" t="s">
        <v>3039</v>
      </c>
      <c r="M52" s="3202" t="s">
        <v>3040</v>
      </c>
    </row>
    <row r="53" spans="1:15">
      <c r="A53" s="3202" t="s">
        <v>3187</v>
      </c>
      <c r="B53" s="3202" t="s">
        <v>3042</v>
      </c>
      <c r="C53" s="3202" t="s">
        <v>3043</v>
      </c>
      <c r="D53" s="3202">
        <v>18256</v>
      </c>
      <c r="E53" s="3202">
        <v>45640</v>
      </c>
      <c r="F53" s="3202" t="s">
        <v>3188</v>
      </c>
      <c r="G53" s="3202" t="s">
        <v>3045</v>
      </c>
      <c r="H53" s="3202" t="s">
        <v>3189</v>
      </c>
      <c r="I53" s="3202">
        <v>19166</v>
      </c>
      <c r="J53" s="3202">
        <v>19486</v>
      </c>
      <c r="K53" s="3202">
        <v>4269.5</v>
      </c>
      <c r="L53" s="3202">
        <v>1.67</v>
      </c>
      <c r="M53" s="3202" t="s">
        <v>3097</v>
      </c>
    </row>
    <row r="54" spans="1:15">
      <c r="A54" s="3202" t="s">
        <v>3190</v>
      </c>
      <c r="B54" s="3202" t="s">
        <v>3042</v>
      </c>
      <c r="C54" s="3202" t="s">
        <v>3043</v>
      </c>
      <c r="D54" s="3202">
        <v>6166</v>
      </c>
      <c r="E54" s="3202">
        <v>12332</v>
      </c>
      <c r="F54" s="3202" t="s">
        <v>3191</v>
      </c>
      <c r="G54" s="3202" t="s">
        <v>3045</v>
      </c>
      <c r="H54" s="3202" t="s">
        <v>3189</v>
      </c>
      <c r="I54" s="3202">
        <v>6013</v>
      </c>
      <c r="J54" s="3202">
        <v>6013</v>
      </c>
      <c r="K54" s="3202">
        <v>4875.93</v>
      </c>
      <c r="L54" s="3202">
        <v>0</v>
      </c>
      <c r="M54" s="3202" t="s">
        <v>3192</v>
      </c>
    </row>
    <row r="55" spans="1:15">
      <c r="A55" s="3202" t="s">
        <v>3193</v>
      </c>
      <c r="B55" s="3202" t="s">
        <v>3042</v>
      </c>
      <c r="C55" s="3202" t="s">
        <v>3043</v>
      </c>
      <c r="D55" s="3202">
        <v>80</v>
      </c>
      <c r="E55" s="3202">
        <v>200</v>
      </c>
      <c r="F55" s="3202" t="s">
        <v>3188</v>
      </c>
      <c r="G55" s="3202" t="s">
        <v>3045</v>
      </c>
      <c r="H55" s="3202" t="s">
        <v>3189</v>
      </c>
      <c r="I55" s="3202">
        <v>84</v>
      </c>
      <c r="J55" s="3202">
        <v>84</v>
      </c>
      <c r="K55" s="3202">
        <v>4200</v>
      </c>
      <c r="L55" s="3202">
        <v>0</v>
      </c>
      <c r="M55" s="3202" t="s">
        <v>3097</v>
      </c>
    </row>
    <row r="56" spans="1:15">
      <c r="A56" s="3202" t="s">
        <v>3194</v>
      </c>
      <c r="B56" s="3202" t="s">
        <v>3042</v>
      </c>
      <c r="C56" s="3202" t="s">
        <v>3043</v>
      </c>
      <c r="D56" s="3202">
        <v>6311</v>
      </c>
      <c r="E56" s="3202">
        <v>6626.55</v>
      </c>
      <c r="F56" s="3202" t="s">
        <v>3056</v>
      </c>
      <c r="G56" s="3202" t="s">
        <v>3045</v>
      </c>
      <c r="H56" s="3202" t="s">
        <v>3195</v>
      </c>
      <c r="I56" s="3202">
        <v>778</v>
      </c>
      <c r="J56" s="3202">
        <v>778</v>
      </c>
      <c r="K56" s="3202">
        <v>1174.05</v>
      </c>
      <c r="L56" s="3202">
        <v>0</v>
      </c>
      <c r="M56" s="3202" t="s">
        <v>3196</v>
      </c>
    </row>
    <row r="57" spans="1:15">
      <c r="A57" s="3202" t="s">
        <v>3197</v>
      </c>
      <c r="B57" s="3202" t="s">
        <v>3042</v>
      </c>
      <c r="C57" s="3202" t="s">
        <v>3043</v>
      </c>
      <c r="D57" s="3202">
        <v>8563</v>
      </c>
      <c r="E57" s="3202">
        <v>8991.15</v>
      </c>
      <c r="F57" s="3202" t="s">
        <v>3056</v>
      </c>
      <c r="G57" s="3202" t="s">
        <v>3045</v>
      </c>
      <c r="H57" s="3202" t="s">
        <v>3195</v>
      </c>
      <c r="I57" s="3202">
        <v>1055</v>
      </c>
      <c r="J57" s="3202">
        <v>1055</v>
      </c>
      <c r="K57" s="3202">
        <v>1173.3800000000001</v>
      </c>
      <c r="L57" s="3202">
        <v>0</v>
      </c>
      <c r="M57" s="3202" t="s">
        <v>3196</v>
      </c>
    </row>
    <row r="58" spans="1:15">
      <c r="A58" s="3202" t="s">
        <v>3198</v>
      </c>
      <c r="B58" s="3202" t="s">
        <v>3042</v>
      </c>
      <c r="C58" s="3202" t="s">
        <v>3043</v>
      </c>
      <c r="D58" s="3202">
        <v>7988</v>
      </c>
      <c r="E58" s="3202">
        <v>8387.4</v>
      </c>
      <c r="F58" s="3202" t="s">
        <v>3056</v>
      </c>
      <c r="G58" s="3202" t="s">
        <v>3045</v>
      </c>
      <c r="H58" s="3202" t="s">
        <v>3195</v>
      </c>
      <c r="I58" s="3202">
        <v>985</v>
      </c>
      <c r="J58" s="3202">
        <v>985</v>
      </c>
      <c r="K58" s="3202">
        <v>1174.3800000000001</v>
      </c>
      <c r="L58" s="3202">
        <v>0</v>
      </c>
      <c r="M58" s="3202" t="s">
        <v>3196</v>
      </c>
    </row>
    <row r="59" spans="1:15">
      <c r="A59" s="3202" t="s">
        <v>3198</v>
      </c>
      <c r="B59" s="3202" t="s">
        <v>3042</v>
      </c>
      <c r="C59" s="3202" t="s">
        <v>3043</v>
      </c>
      <c r="D59" s="3202">
        <v>13157</v>
      </c>
      <c r="E59" s="3202">
        <v>13814.85</v>
      </c>
      <c r="F59" s="3202" t="s">
        <v>3056</v>
      </c>
      <c r="G59" s="3202" t="s">
        <v>3045</v>
      </c>
      <c r="H59" s="3202" t="s">
        <v>3195</v>
      </c>
      <c r="I59" s="3202">
        <v>1623</v>
      </c>
      <c r="J59" s="3202">
        <v>1623</v>
      </c>
      <c r="K59" s="3202">
        <v>1174.81</v>
      </c>
      <c r="L59" s="3202">
        <v>0</v>
      </c>
      <c r="M59" s="3202" t="s">
        <v>3196</v>
      </c>
    </row>
    <row r="60" spans="1:15">
      <c r="A60" s="3202" t="s">
        <v>3199</v>
      </c>
      <c r="B60" s="3202" t="s">
        <v>3042</v>
      </c>
      <c r="C60" s="3202" t="s">
        <v>3043</v>
      </c>
      <c r="D60" s="3202">
        <v>20423</v>
      </c>
      <c r="E60" s="3202">
        <v>32676.799999999999</v>
      </c>
      <c r="F60" s="3202" t="s">
        <v>3060</v>
      </c>
      <c r="G60" s="3202" t="s">
        <v>3045</v>
      </c>
      <c r="H60" s="3202" t="s">
        <v>3195</v>
      </c>
      <c r="I60" s="3202">
        <v>3498</v>
      </c>
      <c r="J60" s="3202">
        <v>3498</v>
      </c>
      <c r="K60" s="3202">
        <v>1070.48</v>
      </c>
      <c r="L60" s="3202">
        <v>0</v>
      </c>
      <c r="M60" s="3202" t="s">
        <v>3196</v>
      </c>
    </row>
    <row r="61" spans="1:15" s="3203" customFormat="1">
      <c r="A61" s="3204" t="s">
        <v>3225</v>
      </c>
      <c r="B61" s="3201" t="s">
        <v>3042</v>
      </c>
      <c r="C61" s="3201" t="s">
        <v>3043</v>
      </c>
      <c r="D61" s="3201">
        <v>15670</v>
      </c>
      <c r="E61" s="3201">
        <v>18804</v>
      </c>
      <c r="F61" s="3201" t="s">
        <v>3200</v>
      </c>
      <c r="G61" s="3201" t="s">
        <v>3045</v>
      </c>
      <c r="H61" s="3201" t="s">
        <v>3195</v>
      </c>
      <c r="I61" s="3201">
        <v>2685</v>
      </c>
      <c r="J61" s="3201">
        <v>2685</v>
      </c>
      <c r="K61" s="3201">
        <v>1427.89</v>
      </c>
      <c r="L61" s="3201">
        <v>0</v>
      </c>
      <c r="M61" s="3201" t="s">
        <v>3196</v>
      </c>
    </row>
    <row r="62" spans="1:15">
      <c r="A62" s="3202" t="s">
        <v>3199</v>
      </c>
      <c r="B62" s="3202" t="s">
        <v>3042</v>
      </c>
      <c r="C62" s="3202" t="s">
        <v>3043</v>
      </c>
      <c r="D62" s="3202">
        <v>2718</v>
      </c>
      <c r="E62" s="3202">
        <v>2989.8</v>
      </c>
      <c r="F62" s="3202" t="s">
        <v>3044</v>
      </c>
      <c r="G62" s="3202" t="s">
        <v>3045</v>
      </c>
      <c r="H62" s="3202" t="s">
        <v>3195</v>
      </c>
      <c r="I62" s="3202">
        <v>394</v>
      </c>
      <c r="J62" s="3202">
        <v>394</v>
      </c>
      <c r="K62" s="3202">
        <v>1317.8</v>
      </c>
      <c r="L62" s="3202">
        <v>0</v>
      </c>
      <c r="M62" s="3202" t="s">
        <v>3196</v>
      </c>
    </row>
    <row r="63" spans="1:15">
      <c r="A63" s="3202" t="s">
        <v>3201</v>
      </c>
      <c r="B63" s="3202" t="s">
        <v>3042</v>
      </c>
      <c r="C63" s="3202" t="s">
        <v>3043</v>
      </c>
      <c r="D63" s="3202">
        <v>55493</v>
      </c>
      <c r="E63" s="3202">
        <v>61042.3</v>
      </c>
      <c r="F63" s="3202" t="s">
        <v>3044</v>
      </c>
      <c r="G63" s="3202" t="s">
        <v>3045</v>
      </c>
      <c r="H63" s="3202" t="s">
        <v>3195</v>
      </c>
      <c r="I63" s="3202">
        <v>7586</v>
      </c>
      <c r="J63" s="3202">
        <v>7586</v>
      </c>
      <c r="K63" s="3202">
        <v>1242.74</v>
      </c>
      <c r="L63" s="3202">
        <v>0</v>
      </c>
      <c r="M63" s="3202" t="s">
        <v>3196</v>
      </c>
    </row>
    <row r="64" spans="1:15">
      <c r="A64" s="3202" t="s">
        <v>3199</v>
      </c>
      <c r="B64" s="3202" t="s">
        <v>3042</v>
      </c>
      <c r="C64" s="3202" t="s">
        <v>3043</v>
      </c>
      <c r="D64" s="3202">
        <v>21548</v>
      </c>
      <c r="E64" s="3202">
        <v>34476.800000000003</v>
      </c>
      <c r="F64" s="3202" t="s">
        <v>3060</v>
      </c>
      <c r="G64" s="3202" t="s">
        <v>3045</v>
      </c>
      <c r="H64" s="3202" t="s">
        <v>3195</v>
      </c>
      <c r="I64" s="3202">
        <v>3691</v>
      </c>
      <c r="J64" s="3202">
        <v>3691</v>
      </c>
      <c r="K64" s="3202">
        <v>1070.56</v>
      </c>
      <c r="L64" s="3202">
        <v>0</v>
      </c>
      <c r="M64" s="3202" t="s">
        <v>3196</v>
      </c>
    </row>
    <row r="65" spans="1:13">
      <c r="A65" s="3202" t="s">
        <v>3199</v>
      </c>
      <c r="B65" s="3202" t="s">
        <v>3042</v>
      </c>
      <c r="C65" s="3202" t="s">
        <v>3043</v>
      </c>
      <c r="D65" s="3202">
        <v>16012</v>
      </c>
      <c r="E65" s="3202">
        <v>16812.599999999999</v>
      </c>
      <c r="F65" s="3202" t="s">
        <v>3056</v>
      </c>
      <c r="G65" s="3202" t="s">
        <v>3045</v>
      </c>
      <c r="H65" s="3202" t="s">
        <v>3195</v>
      </c>
      <c r="I65" s="3202">
        <v>1974</v>
      </c>
      <c r="J65" s="3202">
        <v>1974</v>
      </c>
      <c r="K65" s="3202">
        <v>1174.1099999999999</v>
      </c>
      <c r="L65" s="3202">
        <v>0</v>
      </c>
      <c r="M65" s="3202" t="s">
        <v>3196</v>
      </c>
    </row>
    <row r="66" spans="1:13">
      <c r="A66" s="3202" t="s">
        <v>3202</v>
      </c>
      <c r="B66" s="3202" t="s">
        <v>3042</v>
      </c>
      <c r="C66" s="3202" t="s">
        <v>3043</v>
      </c>
      <c r="D66" s="3202">
        <v>24872</v>
      </c>
      <c r="E66" s="3202">
        <v>39795.199999999997</v>
      </c>
      <c r="F66" s="3202" t="s">
        <v>3060</v>
      </c>
      <c r="G66" s="3202" t="s">
        <v>3045</v>
      </c>
      <c r="H66" s="3202" t="s">
        <v>3195</v>
      </c>
      <c r="I66" s="3202">
        <v>3440</v>
      </c>
      <c r="J66" s="3202">
        <v>3440</v>
      </c>
      <c r="K66" s="3202">
        <v>864.42</v>
      </c>
      <c r="L66" s="3202">
        <v>0</v>
      </c>
      <c r="M66" s="3202" t="s">
        <v>3196</v>
      </c>
    </row>
    <row r="67" spans="1:13">
      <c r="A67" s="3202" t="s">
        <v>3201</v>
      </c>
      <c r="B67" s="3202" t="s">
        <v>3042</v>
      </c>
      <c r="C67" s="3202" t="s">
        <v>3043</v>
      </c>
      <c r="D67" s="3202">
        <v>22061</v>
      </c>
      <c r="E67" s="3202">
        <v>24267.1</v>
      </c>
      <c r="F67" s="3202" t="s">
        <v>3044</v>
      </c>
      <c r="G67" s="3202" t="s">
        <v>3045</v>
      </c>
      <c r="H67" s="3202" t="s">
        <v>3195</v>
      </c>
      <c r="I67" s="3202">
        <v>3015</v>
      </c>
      <c r="J67" s="3202">
        <v>3015</v>
      </c>
      <c r="K67" s="3202">
        <v>1242.42</v>
      </c>
      <c r="L67" s="3202">
        <v>0</v>
      </c>
      <c r="M67" s="3202" t="s">
        <v>3196</v>
      </c>
    </row>
    <row r="68" spans="1:13">
      <c r="A68" s="3202" t="s">
        <v>3203</v>
      </c>
      <c r="B68" s="3202" t="s">
        <v>3042</v>
      </c>
      <c r="C68" s="3202" t="s">
        <v>3043</v>
      </c>
      <c r="D68" s="3202">
        <v>50313</v>
      </c>
      <c r="E68" s="3202">
        <v>60375.6</v>
      </c>
      <c r="F68" s="3202" t="s">
        <v>3200</v>
      </c>
      <c r="G68" s="3202" t="s">
        <v>3045</v>
      </c>
      <c r="H68" s="3202" t="s">
        <v>3195</v>
      </c>
      <c r="I68" s="3202">
        <v>7290</v>
      </c>
      <c r="J68" s="3202">
        <v>7290</v>
      </c>
      <c r="K68" s="3202">
        <v>1207.44</v>
      </c>
      <c r="L68" s="3202">
        <v>0</v>
      </c>
      <c r="M68" s="3202" t="s">
        <v>3196</v>
      </c>
    </row>
    <row r="69" spans="1:13">
      <c r="A69" s="3202" t="s">
        <v>3199</v>
      </c>
      <c r="B69" s="3202" t="s">
        <v>3042</v>
      </c>
      <c r="C69" s="3202" t="s">
        <v>3043</v>
      </c>
      <c r="D69" s="3202">
        <v>24336</v>
      </c>
      <c r="E69" s="3202">
        <v>26769.599999999999</v>
      </c>
      <c r="F69" s="3202" t="s">
        <v>3044</v>
      </c>
      <c r="G69" s="3202" t="s">
        <v>3045</v>
      </c>
      <c r="H69" s="3202" t="s">
        <v>3195</v>
      </c>
      <c r="I69" s="3202">
        <v>3526</v>
      </c>
      <c r="J69" s="3202">
        <v>3526</v>
      </c>
      <c r="K69" s="3202">
        <v>1317.17</v>
      </c>
      <c r="L69" s="3202">
        <v>0</v>
      </c>
      <c r="M69" s="3202" t="s">
        <v>3196</v>
      </c>
    </row>
    <row r="70" spans="1:13">
      <c r="A70" s="3202" t="s">
        <v>3199</v>
      </c>
      <c r="B70" s="3202" t="s">
        <v>3042</v>
      </c>
      <c r="C70" s="3202" t="s">
        <v>3043</v>
      </c>
      <c r="D70" s="3202">
        <v>3576</v>
      </c>
      <c r="E70" s="3202">
        <v>3933.6</v>
      </c>
      <c r="F70" s="3202" t="s">
        <v>3044</v>
      </c>
      <c r="G70" s="3202" t="s">
        <v>3045</v>
      </c>
      <c r="H70" s="3202" t="s">
        <v>3195</v>
      </c>
      <c r="I70" s="3202">
        <v>518</v>
      </c>
      <c r="J70" s="3202">
        <v>518</v>
      </c>
      <c r="K70" s="3202">
        <v>1316.85</v>
      </c>
      <c r="L70" s="3202">
        <v>0</v>
      </c>
      <c r="M70" s="3202" t="s">
        <v>3196</v>
      </c>
    </row>
    <row r="71" spans="1:13">
      <c r="A71" s="3202" t="s">
        <v>3202</v>
      </c>
      <c r="B71" s="3202" t="s">
        <v>3042</v>
      </c>
      <c r="C71" s="3202" t="s">
        <v>3043</v>
      </c>
      <c r="D71" s="3202">
        <v>45323</v>
      </c>
      <c r="E71" s="3202">
        <v>72516.800000000003</v>
      </c>
      <c r="F71" s="3202" t="s">
        <v>3060</v>
      </c>
      <c r="G71" s="3202" t="s">
        <v>3045</v>
      </c>
      <c r="H71" s="3202" t="s">
        <v>3195</v>
      </c>
      <c r="I71" s="3202">
        <v>6268</v>
      </c>
      <c r="J71" s="3202">
        <v>6268</v>
      </c>
      <c r="K71" s="3202">
        <v>864.35</v>
      </c>
      <c r="L71" s="3202">
        <v>0</v>
      </c>
      <c r="M71" s="3202" t="s">
        <v>3196</v>
      </c>
    </row>
    <row r="72" spans="1:13">
      <c r="A72" s="3202" t="s">
        <v>3194</v>
      </c>
      <c r="B72" s="3202" t="s">
        <v>3042</v>
      </c>
      <c r="C72" s="3202" t="s">
        <v>3043</v>
      </c>
      <c r="D72" s="3202">
        <v>1554</v>
      </c>
      <c r="E72" s="3202">
        <v>1631.7</v>
      </c>
      <c r="F72" s="3202" t="s">
        <v>3056</v>
      </c>
      <c r="G72" s="3202" t="s">
        <v>3045</v>
      </c>
      <c r="H72" s="3202" t="s">
        <v>3195</v>
      </c>
      <c r="I72" s="3202">
        <v>192</v>
      </c>
      <c r="J72" s="3202">
        <v>192</v>
      </c>
      <c r="K72" s="3202">
        <v>1176.69</v>
      </c>
      <c r="L72" s="3202">
        <v>0</v>
      </c>
      <c r="M72" s="3202" t="s">
        <v>3196</v>
      </c>
    </row>
    <row r="73" spans="1:13">
      <c r="A73" s="3202" t="s">
        <v>3204</v>
      </c>
      <c r="B73" s="3202" t="s">
        <v>3042</v>
      </c>
      <c r="C73" s="3202" t="s">
        <v>3043</v>
      </c>
      <c r="D73" s="3202">
        <v>69889</v>
      </c>
      <c r="E73" s="3202">
        <v>174722.5</v>
      </c>
      <c r="F73" s="3202" t="s">
        <v>3067</v>
      </c>
      <c r="G73" s="3202" t="s">
        <v>3045</v>
      </c>
      <c r="H73" s="3202" t="s">
        <v>3195</v>
      </c>
      <c r="I73" s="3202">
        <v>32707</v>
      </c>
      <c r="J73" s="3202">
        <v>96427</v>
      </c>
      <c r="K73" s="3202">
        <v>5518.86</v>
      </c>
      <c r="L73" s="3202">
        <v>194.82</v>
      </c>
      <c r="M73" s="3202" t="s">
        <v>3112</v>
      </c>
    </row>
    <row r="74" spans="1:13">
      <c r="A74" s="3202" t="s">
        <v>3199</v>
      </c>
      <c r="B74" s="3202" t="s">
        <v>3042</v>
      </c>
      <c r="C74" s="3202" t="s">
        <v>3043</v>
      </c>
      <c r="D74" s="3202">
        <v>34584</v>
      </c>
      <c r="E74" s="3202">
        <v>38042.400000000001</v>
      </c>
      <c r="F74" s="3202" t="s">
        <v>3044</v>
      </c>
      <c r="G74" s="3202" t="s">
        <v>3045</v>
      </c>
      <c r="H74" s="3202" t="s">
        <v>3195</v>
      </c>
      <c r="I74" s="3202">
        <v>5012</v>
      </c>
      <c r="J74" s="3202">
        <v>5012</v>
      </c>
      <c r="K74" s="3202">
        <v>1317.48</v>
      </c>
      <c r="L74" s="3202">
        <v>0</v>
      </c>
      <c r="M74" s="3202" t="s">
        <v>3196</v>
      </c>
    </row>
    <row r="75" spans="1:13">
      <c r="A75" s="3202" t="s">
        <v>3199</v>
      </c>
      <c r="B75" s="3202" t="s">
        <v>3042</v>
      </c>
      <c r="C75" s="3202" t="s">
        <v>3043</v>
      </c>
      <c r="D75" s="3202">
        <v>42458</v>
      </c>
      <c r="E75" s="3202">
        <v>46703.8</v>
      </c>
      <c r="F75" s="3202" t="s">
        <v>3044</v>
      </c>
      <c r="G75" s="3202" t="s">
        <v>3045</v>
      </c>
      <c r="H75" s="3202" t="s">
        <v>3195</v>
      </c>
      <c r="I75" s="3202">
        <v>6152</v>
      </c>
      <c r="J75" s="3202">
        <v>6152</v>
      </c>
      <c r="K75" s="3202">
        <v>1317.24</v>
      </c>
      <c r="L75" s="3202">
        <v>0</v>
      </c>
      <c r="M75" s="3202" t="s">
        <v>3196</v>
      </c>
    </row>
    <row r="76" spans="1:13">
      <c r="A76" s="3202" t="s">
        <v>3202</v>
      </c>
      <c r="B76" s="3202" t="s">
        <v>3042</v>
      </c>
      <c r="C76" s="3202" t="s">
        <v>3043</v>
      </c>
      <c r="D76" s="3202">
        <v>8293</v>
      </c>
      <c r="E76" s="3202">
        <v>13268.8</v>
      </c>
      <c r="F76" s="3202" t="s">
        <v>3060</v>
      </c>
      <c r="G76" s="3202" t="s">
        <v>3045</v>
      </c>
      <c r="H76" s="3202" t="s">
        <v>3195</v>
      </c>
      <c r="I76" s="3202">
        <v>1147</v>
      </c>
      <c r="J76" s="3202">
        <v>1147</v>
      </c>
      <c r="K76" s="3202">
        <v>864.42</v>
      </c>
      <c r="L76" s="3202">
        <v>0</v>
      </c>
      <c r="M76" s="3202" t="s">
        <v>3196</v>
      </c>
    </row>
    <row r="77" spans="1:13">
      <c r="A77" s="3202" t="s">
        <v>3198</v>
      </c>
      <c r="B77" s="3202" t="s">
        <v>3042</v>
      </c>
      <c r="C77" s="3202" t="s">
        <v>3043</v>
      </c>
      <c r="D77" s="3202">
        <v>52012</v>
      </c>
      <c r="E77" s="3202">
        <v>83219.199999999997</v>
      </c>
      <c r="F77" s="3202" t="s">
        <v>3060</v>
      </c>
      <c r="G77" s="3202" t="s">
        <v>3045</v>
      </c>
      <c r="H77" s="3202" t="s">
        <v>3195</v>
      </c>
      <c r="I77" s="3202">
        <v>8910</v>
      </c>
      <c r="J77" s="3202">
        <v>8910</v>
      </c>
      <c r="K77" s="3202">
        <v>1070.67</v>
      </c>
      <c r="L77" s="3202">
        <v>0</v>
      </c>
      <c r="M77" s="3202" t="s">
        <v>3196</v>
      </c>
    </row>
    <row r="78" spans="1:13">
      <c r="A78" s="3202" t="s">
        <v>3198</v>
      </c>
      <c r="B78" s="3202" t="s">
        <v>3042</v>
      </c>
      <c r="C78" s="3202" t="s">
        <v>3043</v>
      </c>
      <c r="D78" s="3202">
        <v>3674</v>
      </c>
      <c r="E78" s="3202">
        <v>5878.4</v>
      </c>
      <c r="F78" s="3202" t="s">
        <v>3060</v>
      </c>
      <c r="G78" s="3202" t="s">
        <v>3045</v>
      </c>
      <c r="H78" s="3202" t="s">
        <v>3195</v>
      </c>
      <c r="I78" s="3202">
        <v>466</v>
      </c>
      <c r="J78" s="3202">
        <v>466</v>
      </c>
      <c r="K78" s="3202">
        <v>792.73</v>
      </c>
      <c r="L78" s="3202">
        <v>0</v>
      </c>
      <c r="M78" s="3202" t="s">
        <v>3196</v>
      </c>
    </row>
    <row r="79" spans="1:13">
      <c r="A79" s="3202" t="s">
        <v>3194</v>
      </c>
      <c r="B79" s="3202" t="s">
        <v>3042</v>
      </c>
      <c r="C79" s="3202" t="s">
        <v>3043</v>
      </c>
      <c r="D79" s="3202">
        <v>16449</v>
      </c>
      <c r="E79" s="3202">
        <v>17271.45</v>
      </c>
      <c r="F79" s="3202" t="s">
        <v>3056</v>
      </c>
      <c r="G79" s="3202" t="s">
        <v>3045</v>
      </c>
      <c r="H79" s="3202" t="s">
        <v>3195</v>
      </c>
      <c r="I79" s="3202">
        <v>2028</v>
      </c>
      <c r="J79" s="3202">
        <v>2028</v>
      </c>
      <c r="K79" s="3202">
        <v>1174.19</v>
      </c>
      <c r="L79" s="3202">
        <v>0</v>
      </c>
      <c r="M79" s="3202" t="s">
        <v>3196</v>
      </c>
    </row>
    <row r="80" spans="1:13">
      <c r="A80" s="3202" t="s">
        <v>3205</v>
      </c>
      <c r="B80" s="3202" t="s">
        <v>3042</v>
      </c>
      <c r="C80" s="3202" t="s">
        <v>3043</v>
      </c>
      <c r="D80" s="3202">
        <v>48420</v>
      </c>
      <c r="E80" s="3202">
        <v>62946</v>
      </c>
      <c r="F80" s="3202" t="s">
        <v>3206</v>
      </c>
      <c r="G80" s="3202" t="s">
        <v>3045</v>
      </c>
      <c r="H80" s="3202" t="s">
        <v>3195</v>
      </c>
      <c r="I80" s="3202">
        <v>4721</v>
      </c>
      <c r="J80" s="3202">
        <v>25001</v>
      </c>
      <c r="K80" s="3202">
        <v>3971.82</v>
      </c>
      <c r="L80" s="3202">
        <v>429.57</v>
      </c>
      <c r="M80" s="3202" t="s">
        <v>3207</v>
      </c>
    </row>
    <row r="81" spans="1:13">
      <c r="A81" s="3202" t="s">
        <v>3208</v>
      </c>
      <c r="B81" s="3202" t="s">
        <v>3042</v>
      </c>
      <c r="C81" s="3202" t="s">
        <v>3043</v>
      </c>
      <c r="D81" s="3202">
        <v>1591</v>
      </c>
      <c r="E81" s="3202">
        <v>5409.4</v>
      </c>
      <c r="F81" s="3202" t="s">
        <v>3209</v>
      </c>
      <c r="G81" s="3202" t="s">
        <v>3045</v>
      </c>
      <c r="H81" s="3202" t="s">
        <v>3210</v>
      </c>
      <c r="I81" s="3202">
        <v>359</v>
      </c>
      <c r="J81" s="3202">
        <v>1359</v>
      </c>
      <c r="K81" s="3202">
        <v>2512.2800000000002</v>
      </c>
      <c r="L81" s="3202">
        <v>278.55</v>
      </c>
      <c r="M81" s="3202" t="s">
        <v>3211</v>
      </c>
    </row>
    <row r="82" spans="1:13">
      <c r="A82" s="3202" t="s">
        <v>3212</v>
      </c>
      <c r="B82" s="3202" t="s">
        <v>3042</v>
      </c>
      <c r="C82" s="3202" t="s">
        <v>3043</v>
      </c>
      <c r="D82" s="3202">
        <v>3196</v>
      </c>
      <c r="E82" s="3202">
        <v>7990</v>
      </c>
      <c r="F82" s="3202" t="s">
        <v>3067</v>
      </c>
      <c r="G82" s="3202" t="s">
        <v>3045</v>
      </c>
      <c r="H82" s="3202" t="s">
        <v>3210</v>
      </c>
      <c r="I82" s="3202">
        <v>479</v>
      </c>
      <c r="J82" s="3202">
        <v>483</v>
      </c>
      <c r="K82" s="3202">
        <v>604.5</v>
      </c>
      <c r="L82" s="3202">
        <v>0.84</v>
      </c>
      <c r="M82" s="3202" t="s">
        <v>3213</v>
      </c>
    </row>
    <row r="83" spans="1:13">
      <c r="A83" s="3202" t="s">
        <v>3214</v>
      </c>
      <c r="B83" s="3202" t="s">
        <v>3042</v>
      </c>
      <c r="C83" s="3202" t="s">
        <v>3043</v>
      </c>
      <c r="D83" s="3202">
        <v>65045</v>
      </c>
      <c r="E83" s="3202">
        <v>214648.5</v>
      </c>
      <c r="F83" s="3202" t="s">
        <v>3215</v>
      </c>
      <c r="G83" s="3202" t="s">
        <v>3045</v>
      </c>
      <c r="H83" s="3202" t="s">
        <v>3210</v>
      </c>
      <c r="I83" s="3202">
        <v>19514</v>
      </c>
      <c r="J83" s="3202">
        <v>82014</v>
      </c>
      <c r="K83" s="3202">
        <v>3820.84</v>
      </c>
      <c r="L83" s="3202">
        <v>320.27999999999997</v>
      </c>
      <c r="M83" s="3202" t="s">
        <v>3216</v>
      </c>
    </row>
    <row r="84" spans="1:13">
      <c r="A84" s="3202" t="s">
        <v>3208</v>
      </c>
      <c r="B84" s="3202" t="s">
        <v>3042</v>
      </c>
      <c r="C84" s="3202" t="s">
        <v>3043</v>
      </c>
      <c r="D84" s="3202">
        <v>113</v>
      </c>
      <c r="E84" s="3202">
        <v>384.2</v>
      </c>
      <c r="F84" s="3202" t="s">
        <v>3209</v>
      </c>
      <c r="G84" s="3202" t="s">
        <v>3045</v>
      </c>
      <c r="H84" s="3202" t="s">
        <v>3210</v>
      </c>
      <c r="I84" s="3202">
        <v>26</v>
      </c>
      <c r="J84" s="3202">
        <v>26</v>
      </c>
      <c r="K84" s="3202">
        <v>676.73</v>
      </c>
      <c r="L84" s="3202">
        <v>0</v>
      </c>
      <c r="M84" s="3202" t="s">
        <v>3211</v>
      </c>
    </row>
    <row r="85" spans="1:13">
      <c r="A85" s="3202" t="s">
        <v>3212</v>
      </c>
      <c r="B85" s="3202" t="s">
        <v>3042</v>
      </c>
      <c r="C85" s="3202" t="s">
        <v>3043</v>
      </c>
      <c r="D85" s="3202">
        <v>2090</v>
      </c>
      <c r="E85" s="3202">
        <v>5225</v>
      </c>
      <c r="F85" s="3202" t="s">
        <v>3067</v>
      </c>
      <c r="G85" s="3202" t="s">
        <v>3045</v>
      </c>
      <c r="H85" s="3202" t="s">
        <v>3210</v>
      </c>
      <c r="I85" s="3202">
        <v>314</v>
      </c>
      <c r="J85" s="3202">
        <v>318</v>
      </c>
      <c r="K85" s="3202">
        <v>608.61</v>
      </c>
      <c r="L85" s="3202">
        <v>1.27</v>
      </c>
      <c r="M85" s="3202" t="s">
        <v>3213</v>
      </c>
    </row>
    <row r="86" spans="1:13">
      <c r="A86" s="3202" t="s">
        <v>3217</v>
      </c>
      <c r="B86" s="3202" t="s">
        <v>3042</v>
      </c>
      <c r="C86" s="3202" t="s">
        <v>3043</v>
      </c>
      <c r="D86" s="3202">
        <v>24170</v>
      </c>
      <c r="E86" s="3202">
        <v>60425</v>
      </c>
      <c r="F86" s="3202" t="s">
        <v>3067</v>
      </c>
      <c r="G86" s="3202" t="s">
        <v>3045</v>
      </c>
      <c r="H86" s="3202" t="s">
        <v>3218</v>
      </c>
      <c r="I86" s="3202">
        <v>5802</v>
      </c>
      <c r="J86" s="3202">
        <v>5802</v>
      </c>
      <c r="K86" s="3202">
        <v>960.2</v>
      </c>
      <c r="L86" s="3202">
        <v>0</v>
      </c>
      <c r="M86" s="3202" t="s">
        <v>3219</v>
      </c>
    </row>
    <row r="87" spans="1:13">
      <c r="A87" s="3202" t="s">
        <v>3220</v>
      </c>
      <c r="B87" s="3202" t="s">
        <v>3042</v>
      </c>
      <c r="C87" s="3202" t="s">
        <v>3043</v>
      </c>
      <c r="D87" s="3202">
        <v>22513</v>
      </c>
      <c r="E87" s="3202">
        <v>56282.5</v>
      </c>
      <c r="F87" s="3202" t="s">
        <v>3067</v>
      </c>
      <c r="G87" s="3202" t="s">
        <v>3045</v>
      </c>
      <c r="H87" s="3202" t="s">
        <v>3218</v>
      </c>
      <c r="I87" s="3202">
        <v>5403</v>
      </c>
      <c r="J87" s="3202">
        <v>5403</v>
      </c>
      <c r="K87" s="3202">
        <v>959.98</v>
      </c>
      <c r="L87" s="3202">
        <v>0</v>
      </c>
      <c r="M87" s="3202" t="s">
        <v>3221</v>
      </c>
    </row>
    <row r="88" spans="1:13">
      <c r="A88" s="3202" t="s">
        <v>3222</v>
      </c>
      <c r="B88" s="3202" t="s">
        <v>3042</v>
      </c>
      <c r="C88" s="3202" t="s">
        <v>3043</v>
      </c>
      <c r="D88" s="3202">
        <v>26274</v>
      </c>
      <c r="E88" s="3202">
        <v>65685</v>
      </c>
      <c r="F88" s="3202" t="s">
        <v>3067</v>
      </c>
      <c r="G88" s="3202" t="s">
        <v>3045</v>
      </c>
      <c r="H88" s="3202" t="s">
        <v>3218</v>
      </c>
      <c r="I88" s="3202">
        <v>6306</v>
      </c>
      <c r="J88" s="3202">
        <v>6306</v>
      </c>
      <c r="K88" s="3202">
        <v>960.03</v>
      </c>
      <c r="L88" s="3202">
        <v>0</v>
      </c>
      <c r="M88" s="3202" t="s">
        <v>3223</v>
      </c>
    </row>
    <row r="89" spans="1:13">
      <c r="A89" s="3202" t="s">
        <v>3224</v>
      </c>
      <c r="B89" s="3202" t="s">
        <v>3042</v>
      </c>
      <c r="C89" s="3202" t="s">
        <v>3043</v>
      </c>
      <c r="D89" s="3202">
        <v>17170</v>
      </c>
      <c r="E89" s="3202">
        <v>42925</v>
      </c>
      <c r="F89" s="3202" t="s">
        <v>3067</v>
      </c>
      <c r="G89" s="3202" t="s">
        <v>3045</v>
      </c>
      <c r="H89" s="3202" t="s">
        <v>3218</v>
      </c>
      <c r="I89" s="3202">
        <v>4122</v>
      </c>
      <c r="J89" s="3202">
        <v>4122</v>
      </c>
      <c r="K89" s="3202">
        <v>960.27</v>
      </c>
      <c r="L89" s="3202">
        <v>0</v>
      </c>
      <c r="M89" s="3202" t="s">
        <v>3223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2040</v>
      </c>
      <c r="B1" s="3210"/>
      <c r="C1" s="3210"/>
      <c r="D1" s="3210"/>
      <c r="E1" s="3210"/>
      <c r="F1" s="3210"/>
      <c r="G1" s="3210"/>
      <c r="H1" s="3210"/>
      <c r="I1" s="3210"/>
      <c r="J1" s="3210"/>
      <c r="K1" s="3210"/>
      <c r="L1" s="3210"/>
      <c r="M1" s="3210"/>
      <c r="N1" s="3210"/>
      <c r="O1" s="3210"/>
      <c r="P1" s="3210"/>
      <c r="Q1" s="3210"/>
      <c r="R1" s="3210"/>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1" t="s">
        <v>2031</v>
      </c>
      <c r="B3" s="3211" t="s">
        <v>2733</v>
      </c>
      <c r="C3" s="3212" t="s">
        <v>2032</v>
      </c>
      <c r="D3" s="3211" t="s">
        <v>2737</v>
      </c>
      <c r="E3" s="3214" t="s">
        <v>2033</v>
      </c>
      <c r="F3" s="3214"/>
      <c r="G3" s="3214"/>
      <c r="H3" s="3214" t="s">
        <v>2034</v>
      </c>
      <c r="I3" s="3214"/>
      <c r="J3" s="3214"/>
      <c r="K3" s="3212" t="s">
        <v>2035</v>
      </c>
      <c r="L3" s="3212" t="s">
        <v>2036</v>
      </c>
      <c r="M3" s="3211" t="s">
        <v>2734</v>
      </c>
      <c r="N3" s="3213" t="str">
        <f>"（分摊）"&amp;项目基本情况!B16&amp;"国有建设用地使用权面积/㎡"</f>
        <v>（分摊）出让国有建设用地使用权面积/㎡</v>
      </c>
      <c r="O3" s="3211" t="s">
        <v>2065</v>
      </c>
      <c r="P3" s="3212" t="s">
        <v>2045</v>
      </c>
      <c r="Q3" s="3212" t="s">
        <v>2066</v>
      </c>
      <c r="R3" s="3212" t="s">
        <v>2037</v>
      </c>
    </row>
    <row r="4" spans="1:18" ht="36.75" customHeight="1">
      <c r="A4" s="3211"/>
      <c r="B4" s="3211"/>
      <c r="C4" s="3212"/>
      <c r="D4" s="3211"/>
      <c r="E4" s="2649" t="s">
        <v>2044</v>
      </c>
      <c r="F4" s="2649" t="s">
        <v>2746</v>
      </c>
      <c r="G4" s="2649" t="s">
        <v>2038</v>
      </c>
      <c r="H4" s="2649" t="s">
        <v>2039</v>
      </c>
      <c r="I4" s="2649" t="s">
        <v>2747</v>
      </c>
      <c r="J4" s="2649" t="s">
        <v>2038</v>
      </c>
      <c r="K4" s="3212"/>
      <c r="L4" s="3212"/>
      <c r="M4" s="3211"/>
      <c r="N4" s="3213"/>
      <c r="O4" s="3211"/>
      <c r="P4" s="3212"/>
      <c r="Q4" s="3212"/>
      <c r="R4" s="3212"/>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2797</v>
      </c>
      <c r="Q5" s="1810">
        <f ca="1">结果表!D42</f>
        <v>2331</v>
      </c>
      <c r="R5" s="1811">
        <f ca="1">结果表!C42</f>
        <v>1850</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2"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2"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5" t="s">
        <v>2067</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2068</v>
      </c>
      <c r="B5" s="3218"/>
      <c r="C5" s="3218"/>
      <c r="D5" s="3218"/>
    </row>
    <row r="6" spans="1:4">
      <c r="A6" s="3215" t="s">
        <v>2046</v>
      </c>
      <c r="B6" s="3215"/>
      <c r="C6" s="3215"/>
      <c r="D6" s="3215"/>
    </row>
    <row r="7" spans="1:4" ht="33" customHeight="1">
      <c r="A7" s="3215" t="s">
        <v>2577</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2070</v>
      </c>
      <c r="B12" s="3218"/>
      <c r="C12" s="3218"/>
      <c r="D12" s="3218"/>
    </row>
    <row r="13" spans="1:4">
      <c r="A13" s="3216" t="s">
        <v>2748</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2704</v>
      </c>
      <c r="B17" s="3215"/>
      <c r="C17" s="3215"/>
      <c r="D17" s="3215"/>
    </row>
    <row r="18" spans="1:4">
      <c r="A18" s="3215" t="s">
        <v>2696</v>
      </c>
      <c r="B18" s="3215"/>
      <c r="C18" s="3215"/>
      <c r="D18" s="3215"/>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5" t="s">
        <v>2701</v>
      </c>
      <c r="B23" s="3215"/>
      <c r="C23" s="3215"/>
      <c r="D23" s="3215"/>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7" t="s">
        <v>53</v>
      </c>
      <c r="B15" s="3228" t="s">
        <v>845</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836</v>
      </c>
    </row>
    <row r="25" spans="1:3" ht="14.25">
      <c r="A25" s="3226"/>
      <c r="B25" s="3230"/>
      <c r="C25" s="1175" t="s">
        <v>837</v>
      </c>
    </row>
    <row r="26" spans="1:3" ht="14.25">
      <c r="A26" s="3226"/>
      <c r="B26" s="3230"/>
      <c r="C26" s="1175" t="s">
        <v>838</v>
      </c>
    </row>
    <row r="27" spans="1:3" ht="14.25">
      <c r="A27" s="3226"/>
      <c r="B27" s="3230"/>
      <c r="C27" s="1175" t="s">
        <v>839</v>
      </c>
    </row>
    <row r="28" spans="1:3" ht="14.25">
      <c r="A28" s="3226"/>
      <c r="B28" s="3230"/>
      <c r="C28" s="1175" t="s">
        <v>840</v>
      </c>
    </row>
    <row r="29" spans="1:3" ht="14.25">
      <c r="A29" s="3226"/>
      <c r="B29" s="3230"/>
      <c r="C29" s="1175" t="s">
        <v>841</v>
      </c>
    </row>
    <row r="30" spans="1:3" ht="14.25">
      <c r="A30" s="3226"/>
      <c r="B30" s="3230"/>
      <c r="C30" s="1175" t="s">
        <v>842</v>
      </c>
    </row>
    <row r="31" spans="1:3" ht="14.25">
      <c r="A31" s="3226"/>
      <c r="B31" s="3230"/>
      <c r="C31" s="1175" t="s">
        <v>843</v>
      </c>
    </row>
    <row r="32" spans="1:3" ht="14.25">
      <c r="A32" s="3226"/>
      <c r="B32" s="3230"/>
      <c r="C32" s="1175" t="s">
        <v>1646</v>
      </c>
    </row>
    <row r="33" spans="1:3" ht="14.25">
      <c r="A33" s="3226"/>
      <c r="B33" s="3220" t="s">
        <v>1652</v>
      </c>
      <c r="C33" s="1175" t="s">
        <v>1647</v>
      </c>
    </row>
    <row r="34" spans="1:3" ht="14.25">
      <c r="A34" s="3226"/>
      <c r="B34" s="3221"/>
      <c r="C34" s="1180" t="s">
        <v>1648</v>
      </c>
    </row>
    <row r="35" spans="1:3" ht="14.25">
      <c r="A35" s="3226"/>
      <c r="B35" s="3221"/>
      <c r="C35" s="1181" t="s">
        <v>1649</v>
      </c>
    </row>
    <row r="36" spans="1:3" ht="14.25">
      <c r="A36" s="3226"/>
      <c r="B36" s="3221"/>
      <c r="C36" s="1181" t="s">
        <v>1650</v>
      </c>
    </row>
    <row r="37" spans="1:3" ht="14.25">
      <c r="A37" s="3226"/>
      <c r="B37" s="322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43389</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3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2018-09-23T16:40:58Z</cp:lastPrinted>
  <dcterms:created xsi:type="dcterms:W3CDTF">2015-07-13T07:17:23Z</dcterms:created>
  <dcterms:modified xsi:type="dcterms:W3CDTF">2018-10-16T09:58:39Z</dcterms:modified>
</cp:coreProperties>
</file>