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Q19" i="1" l="1"/>
  <c r="D19" i="66"/>
  <c r="D18" i="66"/>
  <c r="D15" i="66"/>
  <c r="D16" i="66"/>
  <c r="B27" i="9"/>
  <c r="D27" i="9"/>
  <c r="D30" i="9"/>
  <c r="B30" i="9"/>
  <c r="C19" i="66"/>
  <c r="B19" i="66"/>
  <c r="C18" i="66"/>
  <c r="B18" i="66"/>
  <c r="C17" i="66"/>
  <c r="B17" i="66"/>
  <c r="C16" i="66"/>
  <c r="B16" i="66"/>
  <c r="C15" i="66"/>
  <c r="B15" i="66"/>
  <c r="C33" i="21"/>
  <c r="C40" i="39"/>
  <c r="F15" i="15"/>
  <c r="F17" i="15"/>
  <c r="B22" i="1"/>
  <c r="C2" i="65"/>
  <c r="F21" i="15"/>
  <c r="F20" i="6"/>
  <c r="F19" i="6"/>
  <c r="C20" i="6"/>
  <c r="C19" i="6"/>
  <c r="D101" i="21"/>
  <c r="D77" i="21"/>
  <c r="E77" i="21"/>
  <c r="F77" i="21"/>
  <c r="D79" i="21"/>
  <c r="E79" i="21"/>
  <c r="D81" i="21"/>
  <c r="E81" i="21"/>
  <c r="F81" i="21"/>
  <c r="D85" i="21"/>
  <c r="F23" i="21"/>
  <c r="F33" i="21"/>
  <c r="AA33" i="21"/>
  <c r="R47" i="21"/>
  <c r="H33" i="21"/>
  <c r="AB33" i="21"/>
  <c r="J33" i="21"/>
  <c r="AC33" i="21"/>
  <c r="V47" i="21"/>
  <c r="E19" i="6"/>
  <c r="E32" i="6"/>
  <c r="J51" i="69"/>
  <c r="L51" i="69"/>
  <c r="J50" i="69"/>
  <c r="L50" i="69"/>
  <c r="J49" i="69"/>
  <c r="L49" i="69"/>
  <c r="J48" i="69"/>
  <c r="L48" i="69"/>
  <c r="J47" i="69"/>
  <c r="L47" i="69"/>
  <c r="J46" i="69"/>
  <c r="L46" i="69"/>
  <c r="J45" i="69"/>
  <c r="L45" i="69"/>
  <c r="J44" i="69"/>
  <c r="L44" i="69"/>
  <c r="J43" i="69"/>
  <c r="L43" i="69"/>
  <c r="J42" i="69"/>
  <c r="L42" i="69"/>
  <c r="J41" i="69"/>
  <c r="L41" i="69"/>
  <c r="J40" i="69"/>
  <c r="L40" i="69"/>
  <c r="J39" i="69"/>
  <c r="L39" i="69"/>
  <c r="J38" i="69"/>
  <c r="L38" i="69"/>
  <c r="J37" i="69"/>
  <c r="L37" i="69"/>
  <c r="J36" i="69"/>
  <c r="L36" i="69"/>
  <c r="J35" i="69"/>
  <c r="L35" i="69"/>
  <c r="J34" i="69"/>
  <c r="L34" i="69"/>
  <c r="J33" i="69"/>
  <c r="L33" i="69"/>
  <c r="J32" i="69"/>
  <c r="L32" i="69"/>
  <c r="J31" i="69"/>
  <c r="L31" i="69"/>
  <c r="J30" i="69"/>
  <c r="L30" i="69"/>
  <c r="J29" i="69"/>
  <c r="L29" i="69"/>
  <c r="J28" i="69"/>
  <c r="L28" i="69"/>
  <c r="J27" i="69"/>
  <c r="L27" i="69"/>
  <c r="J26" i="69"/>
  <c r="L26" i="69"/>
  <c r="J25" i="69"/>
  <c r="L25" i="69"/>
  <c r="J24" i="69"/>
  <c r="L24" i="69"/>
  <c r="J23" i="69"/>
  <c r="L23" i="69"/>
  <c r="J22" i="69"/>
  <c r="L22" i="69"/>
  <c r="J21" i="69"/>
  <c r="L21" i="69"/>
  <c r="J20" i="69"/>
  <c r="L20" i="69"/>
  <c r="J19" i="69"/>
  <c r="L19" i="69"/>
  <c r="J18" i="69"/>
  <c r="L18" i="69"/>
  <c r="J17" i="69"/>
  <c r="L17" i="69"/>
  <c r="J16" i="69"/>
  <c r="L16" i="69"/>
  <c r="J15" i="69"/>
  <c r="L15" i="69"/>
  <c r="J14" i="69"/>
  <c r="L14" i="69"/>
  <c r="J13" i="69"/>
  <c r="L13" i="69"/>
  <c r="J12" i="69"/>
  <c r="L12" i="69"/>
  <c r="J11" i="69"/>
  <c r="L11" i="69"/>
  <c r="J10" i="69"/>
  <c r="L10" i="69"/>
  <c r="J9" i="69"/>
  <c r="L9" i="69"/>
  <c r="J8" i="69"/>
  <c r="L8" i="69"/>
  <c r="J7" i="69"/>
  <c r="L7" i="69"/>
  <c r="J6" i="69"/>
  <c r="L6" i="69"/>
  <c r="J5" i="69"/>
  <c r="L5" i="69"/>
  <c r="J4" i="69"/>
  <c r="L4" i="69"/>
  <c r="J3" i="69"/>
  <c r="L3" i="69"/>
  <c r="J2" i="69"/>
  <c r="L2" i="69"/>
  <c r="D3" i="4"/>
  <c r="AH5" i="59"/>
  <c r="AG5" i="59"/>
  <c r="AE5" i="59"/>
  <c r="AF5" i="59"/>
  <c r="AD5" i="59"/>
  <c r="Q6" i="59"/>
  <c r="Q5" i="59"/>
  <c r="P6" i="59"/>
  <c r="P5" i="59"/>
  <c r="O6" i="59"/>
  <c r="O5" i="59"/>
  <c r="N6" i="59"/>
  <c r="N5" i="59"/>
  <c r="B2" i="1"/>
  <c r="G19" i="46"/>
  <c r="M19" i="46"/>
  <c r="I20" i="46"/>
  <c r="A6" i="1"/>
  <c r="A7" i="1"/>
  <c r="J50" i="15"/>
  <c r="J51" i="15"/>
  <c r="M47" i="15"/>
  <c r="C1" i="65"/>
  <c r="H1" i="65"/>
  <c r="I5" i="3"/>
  <c r="K5" i="3"/>
  <c r="D8" i="59"/>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H13" i="3"/>
  <c r="H14" i="3"/>
  <c r="AE7" i="59"/>
  <c r="AF7" i="59"/>
  <c r="AG7" i="59"/>
  <c r="AH7" i="59"/>
  <c r="AD7" i="59"/>
  <c r="Q7" i="59"/>
  <c r="P7" i="59"/>
  <c r="O7" i="59"/>
  <c r="N7" i="59"/>
  <c r="N8" i="59"/>
  <c r="Q8" i="59"/>
  <c r="P8" i="59"/>
  <c r="O8" i="59"/>
  <c r="L4" i="9"/>
  <c r="A30" i="51"/>
  <c r="M4" i="9"/>
  <c r="A30" i="64"/>
  <c r="K59" i="15"/>
  <c r="P62" i="15"/>
  <c r="P75" i="15"/>
  <c r="Q74" i="44"/>
  <c r="Q61" i="44"/>
  <c r="Q60" i="44"/>
  <c r="Q53" i="44"/>
  <c r="J51" i="44"/>
  <c r="J52" i="44"/>
  <c r="M48" i="44"/>
  <c r="A16" i="55"/>
  <c r="A15" i="55"/>
  <c r="L26" i="4"/>
  <c r="A10" i="55"/>
  <c r="A9" i="55"/>
  <c r="B60" i="63"/>
  <c r="A8" i="55"/>
  <c r="A6" i="54"/>
  <c r="B49" i="63"/>
  <c r="A8" i="54"/>
  <c r="A7" i="54"/>
  <c r="A27" i="51"/>
  <c r="D5" i="46"/>
  <c r="Q9" i="59"/>
  <c r="O9" i="59"/>
  <c r="N10" i="59"/>
  <c r="O10" i="59"/>
  <c r="P10" i="59"/>
  <c r="Q10" i="59"/>
  <c r="N9" i="59"/>
  <c r="P9" i="59"/>
  <c r="E11" i="59"/>
  <c r="K75" i="9"/>
  <c r="K6" i="4"/>
  <c r="O76" i="9"/>
  <c r="L76" i="9"/>
  <c r="K76" i="9"/>
  <c r="B22" i="31"/>
  <c r="E16" i="66"/>
  <c r="F16" i="66"/>
  <c r="E18" i="66"/>
  <c r="F18" i="66"/>
  <c r="E20" i="66"/>
  <c r="F20" i="66"/>
  <c r="E21" i="66"/>
  <c r="F21" i="66"/>
  <c r="E22" i="66"/>
  <c r="F22" i="66"/>
  <c r="E23" i="66"/>
  <c r="F23" i="66"/>
  <c r="B3" i="66"/>
  <c r="B10" i="59"/>
  <c r="B9" i="59"/>
  <c r="B7" i="59"/>
  <c r="B6" i="59"/>
  <c r="B5" i="59"/>
  <c r="E7" i="59"/>
  <c r="E6" i="59"/>
  <c r="E5" i="59"/>
  <c r="F7" i="59"/>
  <c r="F6" i="59"/>
  <c r="F5"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N1" i="65"/>
  <c r="T7" i="59"/>
  <c r="D7" i="59"/>
  <c r="B76" i="63"/>
  <c r="M5" i="54"/>
  <c r="A23" i="51"/>
  <c r="Y12" i="46"/>
  <c r="AA9" i="46"/>
  <c r="AB9" i="46"/>
  <c r="AC9" i="46"/>
  <c r="AC10" i="46"/>
  <c r="AD9" i="46"/>
  <c r="AE9" i="46"/>
  <c r="AF9" i="46"/>
  <c r="AG9" i="46"/>
  <c r="AG10" i="46"/>
  <c r="AH9" i="46"/>
  <c r="AI9"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C56" i="10"/>
  <c r="A26" i="51"/>
  <c r="B19" i="63"/>
  <c r="C55" i="10"/>
  <c r="C54" i="10"/>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Q11" i="59"/>
  <c r="F11" i="59"/>
  <c r="F10" i="59"/>
  <c r="F9" i="59"/>
  <c r="P11" i="59"/>
  <c r="O11" i="59"/>
  <c r="C11" i="59"/>
  <c r="N11" i="59"/>
  <c r="B11" i="59"/>
  <c r="S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D45" i="59"/>
  <c r="N44" i="59"/>
  <c r="B45" i="59"/>
  <c r="B46" i="59"/>
  <c r="B47" i="59"/>
  <c r="S47" i="59"/>
  <c r="D44" i="59"/>
  <c r="Q43" i="59"/>
  <c r="P43" i="59"/>
  <c r="O43" i="59"/>
  <c r="N43" i="59"/>
  <c r="Q42" i="59"/>
  <c r="P42" i="59"/>
  <c r="O42" i="59"/>
  <c r="N42" i="59"/>
  <c r="Q41" i="59"/>
  <c r="P41" i="59"/>
  <c r="O41" i="59"/>
  <c r="N41" i="59"/>
  <c r="Q40" i="59"/>
  <c r="F41" i="59"/>
  <c r="F42" i="59"/>
  <c r="P40" i="59"/>
  <c r="E41" i="59"/>
  <c r="E42" i="59"/>
  <c r="E43" i="59"/>
  <c r="U43" i="59"/>
  <c r="O40" i="59"/>
  <c r="C41" i="59"/>
  <c r="D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D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N29" i="59"/>
  <c r="Q28" i="59"/>
  <c r="F29" i="59"/>
  <c r="F30"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C26" i="59"/>
  <c r="C27" i="59"/>
  <c r="D27" i="59"/>
  <c r="N24" i="59"/>
  <c r="B25" i="59"/>
  <c r="B26" i="59"/>
  <c r="B27" i="59"/>
  <c r="S27" i="59"/>
  <c r="D24" i="59"/>
  <c r="Q23" i="59"/>
  <c r="P23" i="59"/>
  <c r="O23" i="59"/>
  <c r="N23" i="59"/>
  <c r="Q22" i="59"/>
  <c r="AB22" i="59"/>
  <c r="P22" i="59"/>
  <c r="O22" i="59"/>
  <c r="Y22" i="59"/>
  <c r="Z22" i="59"/>
  <c r="N22" i="59"/>
  <c r="X22" i="59"/>
  <c r="Q21" i="59"/>
  <c r="P21" i="59"/>
  <c r="AA21" i="59"/>
  <c r="O21" i="59"/>
  <c r="Y21" i="59"/>
  <c r="Z21" i="59"/>
  <c r="N21" i="59"/>
  <c r="X21" i="59"/>
  <c r="Q20" i="59"/>
  <c r="P20" i="59"/>
  <c r="O20" i="59"/>
  <c r="C21" i="59"/>
  <c r="C22" i="59"/>
  <c r="C23" i="59"/>
  <c r="D23" i="59"/>
  <c r="N20" i="59"/>
  <c r="B21" i="59"/>
  <c r="B22" i="59"/>
  <c r="B23" i="59"/>
  <c r="S23" i="59"/>
  <c r="D20" i="59"/>
  <c r="Q19" i="59"/>
  <c r="P19" i="59"/>
  <c r="AA19" i="59"/>
  <c r="O19" i="59"/>
  <c r="Y19" i="59"/>
  <c r="Z19" i="59"/>
  <c r="N19" i="59"/>
  <c r="X19" i="59"/>
  <c r="Q18" i="59"/>
  <c r="P18" i="59"/>
  <c r="AA18" i="59"/>
  <c r="O18" i="59"/>
  <c r="N18" i="59"/>
  <c r="X18" i="59"/>
  <c r="Q17" i="59"/>
  <c r="P17" i="59"/>
  <c r="AA17" i="59"/>
  <c r="O17" i="59"/>
  <c r="Y17" i="59"/>
  <c r="Z17" i="59"/>
  <c r="N17" i="59"/>
  <c r="X17" i="59"/>
  <c r="Q16" i="59"/>
  <c r="F17" i="59"/>
  <c r="P16" i="59"/>
  <c r="E17" i="59"/>
  <c r="E18" i="59"/>
  <c r="E19" i="59"/>
  <c r="U19" i="59"/>
  <c r="O16" i="59"/>
  <c r="N16" i="59"/>
  <c r="D16" i="59"/>
  <c r="Q15" i="59"/>
  <c r="P15" i="59"/>
  <c r="AA15" i="59"/>
  <c r="O15" i="59"/>
  <c r="N15" i="59"/>
  <c r="Q14" i="59"/>
  <c r="P14" i="59"/>
  <c r="O14" i="59"/>
  <c r="N14" i="59"/>
  <c r="X14" i="59"/>
  <c r="Q13" i="59"/>
  <c r="P13" i="59"/>
  <c r="AA13" i="59"/>
  <c r="O13" i="59"/>
  <c r="N13" i="59"/>
  <c r="Q12" i="59"/>
  <c r="P12" i="59"/>
  <c r="O12" i="59"/>
  <c r="C13" i="59"/>
  <c r="C14" i="59"/>
  <c r="C15" i="59"/>
  <c r="D15" i="59"/>
  <c r="N12" i="59"/>
  <c r="B13" i="59"/>
  <c r="B14" i="59"/>
  <c r="B15" i="59"/>
  <c r="S15" i="59"/>
  <c r="D12" i="59"/>
  <c r="X3" i="59"/>
  <c r="X11" i="59"/>
  <c r="AA10" i="59"/>
  <c r="Y9" i="59"/>
  <c r="Z9" i="59"/>
  <c r="Y11" i="59"/>
  <c r="Z11" i="59"/>
  <c r="AB11" i="59"/>
  <c r="AB8" i="59"/>
  <c r="AB10" i="59"/>
  <c r="E13" i="59"/>
  <c r="E14" i="59"/>
  <c r="E15" i="59"/>
  <c r="U15" i="59"/>
  <c r="B34" i="59"/>
  <c r="B35" i="59"/>
  <c r="S35" i="59"/>
  <c r="E35" i="59"/>
  <c r="U35" i="59"/>
  <c r="S51" i="59"/>
  <c r="AA22" i="59"/>
  <c r="F18" i="59"/>
  <c r="F19" i="59"/>
  <c r="V19" i="59"/>
  <c r="F26" i="59"/>
  <c r="F27" i="59"/>
  <c r="V27" i="59"/>
  <c r="F31" i="59"/>
  <c r="V31" i="59"/>
  <c r="F38" i="59"/>
  <c r="F39" i="59"/>
  <c r="V39" i="59"/>
  <c r="F43" i="59"/>
  <c r="V43" i="59"/>
  <c r="F46" i="59"/>
  <c r="F47" i="59"/>
  <c r="V47" i="59"/>
  <c r="D21" i="59"/>
  <c r="D25" i="59"/>
  <c r="C34" i="59"/>
  <c r="C35" i="59"/>
  <c r="D35" i="59"/>
  <c r="C38" i="59"/>
  <c r="C39" i="59"/>
  <c r="D39" i="59"/>
  <c r="C42" i="59"/>
  <c r="D42" i="59"/>
  <c r="C46" i="59"/>
  <c r="C47" i="59"/>
  <c r="D47" i="59"/>
  <c r="E49" i="59"/>
  <c r="P48" i="59"/>
  <c r="B49" i="59"/>
  <c r="N48" i="59"/>
  <c r="Q50" i="59"/>
  <c r="T51" i="59"/>
  <c r="D51" i="59"/>
  <c r="P51" i="59"/>
  <c r="U51" i="59"/>
  <c r="Q51" i="59"/>
  <c r="E54" i="59"/>
  <c r="E53" i="59"/>
  <c r="D55" i="59"/>
  <c r="C58" i="59"/>
  <c r="E58" i="59"/>
  <c r="E57" i="59"/>
  <c r="D59" i="59"/>
  <c r="C62" i="59"/>
  <c r="E62" i="59"/>
  <c r="E61" i="59"/>
  <c r="D63" i="59"/>
  <c r="C66" i="59"/>
  <c r="C70" i="59"/>
  <c r="D70" i="59"/>
  <c r="U16" i="4"/>
  <c r="S16" i="4"/>
  <c r="Q16" i="4"/>
  <c r="O16" i="4"/>
  <c r="N16" i="4"/>
  <c r="M16" i="4"/>
  <c r="K16" i="4"/>
  <c r="P49" i="59"/>
  <c r="C69" i="59"/>
  <c r="D69" i="59"/>
  <c r="D62" i="59"/>
  <c r="C61" i="59"/>
  <c r="D61" i="59"/>
  <c r="D66" i="59"/>
  <c r="C65" i="59"/>
  <c r="D65" i="59"/>
  <c r="D58" i="59"/>
  <c r="C57" i="59"/>
  <c r="D57" i="59"/>
  <c r="N49" i="59"/>
  <c r="C43" i="59"/>
  <c r="D43" i="59"/>
  <c r="D34" i="59"/>
  <c r="D26" i="59"/>
  <c r="D22" i="59"/>
  <c r="D14" i="59"/>
  <c r="T43" i="59"/>
  <c r="T15" i="59"/>
  <c r="T23" i="59"/>
  <c r="T27" i="59"/>
  <c r="T35" i="59"/>
  <c r="T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A13" i="1"/>
  <c r="B13" i="1"/>
  <c r="E13" i="1"/>
  <c r="A8" i="1"/>
  <c r="A9" i="1"/>
  <c r="A10" i="1"/>
  <c r="R10" i="1"/>
  <c r="A11"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20" i="6"/>
  <c r="E21" i="6"/>
  <c r="K8" i="1"/>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5" i="3"/>
  <c r="AC15" i="3"/>
  <c r="G15" i="3"/>
  <c r="H16" i="3"/>
  <c r="AC16" i="3"/>
  <c r="H17" i="3"/>
  <c r="AC17" i="3"/>
  <c r="H18" i="3"/>
  <c r="AC18" i="3"/>
  <c r="BB18" i="3"/>
  <c r="BC18" i="3"/>
  <c r="BD18" i="3"/>
  <c r="BE18" i="3"/>
  <c r="BF18" i="3"/>
  <c r="BF5"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W24" i="35"/>
  <c r="B7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H35" i="21"/>
  <c r="F108" i="21"/>
  <c r="G108" i="21"/>
  <c r="H108" i="21"/>
  <c r="I108" i="21"/>
  <c r="J108" i="21"/>
  <c r="K108" i="21"/>
  <c r="L108" i="21"/>
  <c r="M108" i="21"/>
  <c r="D106" i="21"/>
  <c r="E106" i="21"/>
  <c r="F106" i="21"/>
  <c r="G106" i="21"/>
  <c r="H106" i="21"/>
  <c r="I106" i="21"/>
  <c r="J106" i="21"/>
  <c r="K106" i="21"/>
  <c r="L106" i="21"/>
  <c r="M106"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E13" i="11"/>
  <c r="E12" i="11"/>
  <c r="BB12" i="3"/>
  <c r="F9" i="12"/>
  <c r="D9" i="12"/>
  <c r="E9" i="12"/>
  <c r="G9" i="12"/>
  <c r="J5" i="3"/>
  <c r="BE10" i="3"/>
  <c r="BB570" i="3"/>
  <c r="BC570" i="3"/>
  <c r="BD570" i="3"/>
  <c r="BE570" i="3"/>
  <c r="BA570" i="3"/>
  <c r="AZ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8" i="21"/>
  <c r="S38" i="21"/>
  <c r="F36" i="21"/>
  <c r="S36" i="21"/>
  <c r="F39" i="21"/>
  <c r="AA39" i="21"/>
  <c r="J40" i="21"/>
  <c r="W40" i="21"/>
  <c r="AB35" i="21"/>
  <c r="J8" i="21"/>
  <c r="AC8" i="21"/>
  <c r="J9" i="21"/>
  <c r="AC9" i="21"/>
  <c r="H8" i="21"/>
  <c r="H9" i="21"/>
  <c r="AB9" i="21"/>
  <c r="H10" i="21"/>
  <c r="U10" i="21"/>
  <c r="H39" i="21"/>
  <c r="AB39" i="21"/>
  <c r="J34" i="21"/>
  <c r="W34" i="21"/>
  <c r="H36" i="21"/>
  <c r="F35" i="21"/>
  <c r="AA35" i="21"/>
  <c r="W33" i="21"/>
  <c r="U33" i="21"/>
  <c r="J10" i="21"/>
  <c r="AC10" i="21"/>
  <c r="H26" i="21"/>
  <c r="J12" i="21"/>
  <c r="H12" i="21"/>
  <c r="U12" i="21"/>
  <c r="J26" i="21"/>
  <c r="W26" i="21"/>
  <c r="F26" i="21"/>
  <c r="AA26" i="21"/>
  <c r="AB41" i="21"/>
  <c r="S41" i="21"/>
  <c r="W41" i="21"/>
  <c r="S10" i="39"/>
  <c r="U30" i="37"/>
  <c r="E103" i="37"/>
  <c r="F103" i="37"/>
  <c r="F39" i="37"/>
  <c r="S39" i="37"/>
  <c r="F29" i="36"/>
  <c r="AA29" i="36"/>
  <c r="F16" i="36"/>
  <c r="AA16" i="36"/>
  <c r="U22" i="36"/>
  <c r="W22" i="36"/>
  <c r="AC31" i="36"/>
  <c r="J33" i="36"/>
  <c r="W33" i="36"/>
  <c r="AC27" i="35"/>
  <c r="U31" i="35"/>
  <c r="W36" i="35"/>
  <c r="S31" i="35"/>
  <c r="F36" i="34"/>
  <c r="S36" i="34"/>
  <c r="W9" i="34"/>
  <c r="S34" i="34"/>
  <c r="H39" i="33"/>
  <c r="AB39" i="33"/>
  <c r="F26" i="33"/>
  <c r="AA26" i="33"/>
  <c r="U9" i="33"/>
  <c r="W38" i="33"/>
  <c r="S40" i="33"/>
  <c r="S33" i="33"/>
  <c r="U38" i="33"/>
  <c r="W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F36" i="33"/>
  <c r="S36" i="33"/>
  <c r="F19" i="33"/>
  <c r="S19" i="33"/>
  <c r="J19" i="33"/>
  <c r="S10" i="21"/>
  <c r="W40" i="33"/>
  <c r="G125" i="21"/>
  <c r="AB30" i="36"/>
  <c r="AC34" i="36"/>
  <c r="S22" i="35"/>
  <c r="H29" i="35"/>
  <c r="U34" i="37"/>
  <c r="AA34" i="37"/>
  <c r="AC43" i="34"/>
  <c r="AB42" i="34"/>
  <c r="W36" i="34"/>
  <c r="J19" i="34"/>
  <c r="AC19" i="34"/>
  <c r="G113" i="33"/>
  <c r="H113" i="33"/>
  <c r="I113" i="33"/>
  <c r="J113" i="33"/>
  <c r="K113" i="33"/>
  <c r="L113" i="33"/>
  <c r="M113" i="33"/>
  <c r="H37" i="33"/>
  <c r="AB37" i="33"/>
  <c r="S37" i="33"/>
  <c r="W43" i="34"/>
  <c r="W42" i="34"/>
  <c r="AA42" i="34"/>
  <c r="S42" i="34"/>
  <c r="W38" i="34"/>
  <c r="S38" i="34"/>
  <c r="J37" i="33"/>
  <c r="W37" i="33"/>
  <c r="J44" i="34"/>
  <c r="AC44" i="34"/>
  <c r="F44" i="34"/>
  <c r="S44" i="34"/>
  <c r="J10" i="35"/>
  <c r="W10" i="35"/>
  <c r="AL5" i="3"/>
  <c r="J14" i="21"/>
  <c r="W14" i="21"/>
  <c r="F14" i="21"/>
  <c r="AA14" i="21"/>
  <c r="H14" i="21"/>
  <c r="U14" i="21"/>
  <c r="H28" i="21"/>
  <c r="AB28" i="21"/>
  <c r="F28" i="21"/>
  <c r="J28" i="21"/>
  <c r="AC28" i="21"/>
  <c r="H30" i="21"/>
  <c r="F30" i="21"/>
  <c r="S30" i="21"/>
  <c r="J30" i="21"/>
  <c r="AC30" i="21"/>
  <c r="J44" i="21"/>
  <c r="AC44" i="21"/>
  <c r="H44" i="21"/>
  <c r="U44" i="21"/>
  <c r="F44" i="21"/>
  <c r="AA44" i="21"/>
  <c r="H46" i="21"/>
  <c r="AB46" i="21"/>
  <c r="J46" i="21"/>
  <c r="W46" i="21"/>
  <c r="F46" i="21"/>
  <c r="AA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F13" i="33"/>
  <c r="S13" i="33"/>
  <c r="J29" i="33"/>
  <c r="W29" i="33"/>
  <c r="J31" i="33"/>
  <c r="AC31" i="33"/>
  <c r="H31" i="33"/>
  <c r="U31" i="33"/>
  <c r="J45" i="33"/>
  <c r="W45" i="33"/>
  <c r="F45" i="33"/>
  <c r="S45" i="33"/>
  <c r="F11" i="35"/>
  <c r="S11" i="35"/>
  <c r="H28" i="36"/>
  <c r="U28" i="36"/>
  <c r="H32" i="36"/>
  <c r="AB32" i="36"/>
  <c r="J32"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F30" i="33"/>
  <c r="S30" i="33"/>
  <c r="J30" i="33"/>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AA28" i="21"/>
  <c r="AB14" i="21"/>
  <c r="U36" i="37"/>
  <c r="AC13" i="36"/>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AZ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Z508" i="3"/>
  <c r="AC506" i="3"/>
  <c r="G506" i="3"/>
  <c r="BQ506" i="3"/>
  <c r="G502" i="3"/>
  <c r="G498" i="3"/>
  <c r="BQ504" i="3"/>
  <c r="BQ502" i="3"/>
  <c r="BL502" i="3"/>
  <c r="BQ500" i="3"/>
  <c r="BL500" i="3"/>
  <c r="BQ498" i="3"/>
  <c r="BQ496" i="3"/>
  <c r="AC494" i="3"/>
  <c r="BQ494" i="3"/>
  <c r="BL493" i="3"/>
  <c r="AZ493" i="3"/>
  <c r="G492" i="3"/>
  <c r="G488" i="3"/>
  <c r="G484" i="3"/>
  <c r="G20" i="3"/>
  <c r="BQ492" i="3"/>
  <c r="BL492" i="3"/>
  <c r="AZ492" i="3"/>
  <c r="BQ490" i="3"/>
  <c r="BQ488" i="3"/>
  <c r="BL488" i="3"/>
  <c r="AZ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AC36" i="34"/>
  <c r="AB8" i="34"/>
  <c r="AC37" i="33"/>
  <c r="AA13" i="33"/>
  <c r="AC45" i="33"/>
  <c r="AA36" i="21"/>
  <c r="S39" i="33"/>
  <c r="F43" i="33"/>
  <c r="AA43" i="33"/>
  <c r="AA23" i="37"/>
  <c r="S10" i="35"/>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S27" i="31"/>
  <c r="AZ558" i="3"/>
  <c r="AZ540" i="3"/>
  <c r="AZ560" i="3"/>
  <c r="G483" i="3"/>
  <c r="G515" i="3"/>
  <c r="G507" i="3"/>
  <c r="G501" i="3"/>
  <c r="BA15" i="3"/>
  <c r="BL17" i="3"/>
  <c r="BL15" i="3"/>
  <c r="BT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54" i="3"/>
  <c r="H13" i="39"/>
  <c r="AB13" i="39"/>
  <c r="AA36" i="35"/>
  <c r="H11" i="37"/>
  <c r="AB11" i="37"/>
  <c r="W37" i="37"/>
  <c r="AA30" i="33"/>
  <c r="AA36" i="37"/>
  <c r="S42" i="33"/>
  <c r="U32" i="33"/>
  <c r="AB17" i="37"/>
  <c r="AZ516" i="3"/>
  <c r="AZ524" i="3"/>
  <c r="AZ532" i="3"/>
  <c r="AZ546" i="3"/>
  <c r="AC29" i="33"/>
  <c r="AA45" i="33"/>
  <c r="AC11" i="36"/>
  <c r="AC10" i="36"/>
  <c r="AC14" i="37"/>
  <c r="AB35" i="35"/>
  <c r="S25" i="35"/>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S33" i="21"/>
  <c r="U39" i="21"/>
  <c r="W9" i="21"/>
  <c r="AC5" i="3"/>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W43" i="39"/>
  <c r="F99" i="37"/>
  <c r="AC27" i="37"/>
  <c r="U25" i="35"/>
  <c r="AC40" i="37"/>
  <c r="W40" i="37"/>
  <c r="S28" i="33"/>
  <c r="S14" i="21"/>
  <c r="AA44" i="34"/>
  <c r="AB29" i="35"/>
  <c r="U29" i="35"/>
  <c r="AC19" i="33"/>
  <c r="W19" i="33"/>
  <c r="U43" i="34"/>
  <c r="AB43" i="34"/>
  <c r="AC34" i="37"/>
  <c r="S35" i="37"/>
  <c r="AA35" i="37"/>
  <c r="AB10" i="35"/>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C27" i="43"/>
  <c r="F66" i="9"/>
  <c r="P72" i="9"/>
  <c r="F71" i="9"/>
  <c r="F72" i="9"/>
  <c r="AC14" i="40"/>
  <c r="W35" i="40"/>
  <c r="S33" i="40"/>
  <c r="AB32" i="40"/>
  <c r="AC47" i="39"/>
  <c r="S47" i="39"/>
  <c r="AB25" i="39"/>
  <c r="U37" i="34"/>
  <c r="AB37" i="34"/>
  <c r="AC41" i="40"/>
  <c r="W41" i="40"/>
  <c r="U41" i="40"/>
  <c r="J23" i="40"/>
  <c r="AC23" i="40"/>
  <c r="F23" i="40"/>
  <c r="S23" i="40"/>
  <c r="AC15" i="40"/>
  <c r="W15" i="40"/>
  <c r="W27" i="39"/>
  <c r="AB16" i="39"/>
  <c r="W14"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A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AB20" i="35"/>
  <c r="W23" i="40"/>
  <c r="D73" i="9"/>
  <c r="N73" i="9"/>
  <c r="AP11" i="1"/>
  <c r="B11" i="1"/>
  <c r="E11" i="1"/>
  <c r="K11" i="1"/>
  <c r="M11" i="1"/>
  <c r="B9" i="1"/>
  <c r="E9" i="1"/>
  <c r="K9" i="1"/>
  <c r="M9" i="1"/>
  <c r="B7" i="1"/>
  <c r="E7" i="1"/>
  <c r="K7" i="1"/>
  <c r="M7" i="1"/>
  <c r="C20" i="43"/>
  <c r="G11" i="1"/>
  <c r="M22" i="44"/>
  <c r="F32" i="15"/>
  <c r="F59" i="15"/>
  <c r="F29" i="12"/>
  <c r="F70" i="9"/>
  <c r="D86" i="9"/>
  <c r="M20" i="44"/>
  <c r="F31" i="43"/>
  <c r="C31" i="43"/>
  <c r="F30" i="44"/>
  <c r="C30" i="44"/>
  <c r="C25" i="12"/>
  <c r="AC25" i="36"/>
  <c r="S23" i="36"/>
  <c r="S8" i="36"/>
  <c r="AA26" i="36"/>
  <c r="AA28" i="36"/>
  <c r="U25" i="36"/>
  <c r="H20" i="36"/>
  <c r="U20" i="36"/>
  <c r="F68" i="36"/>
  <c r="G68" i="36"/>
  <c r="J20" i="36"/>
  <c r="AC20" i="36"/>
  <c r="F20" i="36"/>
  <c r="S20" i="36"/>
  <c r="F62" i="36"/>
  <c r="G62" i="36"/>
  <c r="J14" i="36"/>
  <c r="AC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W26" i="35"/>
  <c r="F26" i="35"/>
  <c r="H26" i="35"/>
  <c r="U26" i="35"/>
  <c r="AB9" i="37"/>
  <c r="W12" i="37"/>
  <c r="AA9" i="37"/>
  <c r="S17" i="37"/>
  <c r="W28" i="37"/>
  <c r="AB37" i="37"/>
  <c r="AA31" i="37"/>
  <c r="S33" i="37"/>
  <c r="U32" i="37"/>
  <c r="J33" i="37"/>
  <c r="W33" i="37"/>
  <c r="H99" i="37"/>
  <c r="I99" i="37"/>
  <c r="J99" i="37"/>
  <c r="K99" i="37"/>
  <c r="L99" i="37"/>
  <c r="M99" i="37"/>
  <c r="S29" i="37"/>
  <c r="J19" i="37"/>
  <c r="AC19" i="37"/>
  <c r="G75" i="37"/>
  <c r="F19" i="37"/>
  <c r="AA19" i="37"/>
  <c r="H19" i="37"/>
  <c r="AB19" i="37"/>
  <c r="J17" i="37"/>
  <c r="S15" i="37"/>
  <c r="AC10" i="37"/>
  <c r="AC21" i="37"/>
  <c r="W21" i="37"/>
  <c r="AC11" i="37"/>
  <c r="AC9" i="37"/>
  <c r="W32" i="37"/>
  <c r="U35" i="37"/>
  <c r="U8" i="37"/>
  <c r="AB25" i="37"/>
  <c r="AB21" i="37"/>
  <c r="U21" i="37"/>
  <c r="S37" i="37"/>
  <c r="S40" i="37"/>
  <c r="AA11" i="37"/>
  <c r="S10" i="37"/>
  <c r="W46" i="34"/>
  <c r="AA40" i="34"/>
  <c r="W33" i="34"/>
  <c r="U30" i="34"/>
  <c r="S32" i="34"/>
  <c r="AB33" i="34"/>
  <c r="AA12" i="34"/>
  <c r="AC35" i="34"/>
  <c r="AA30" i="34"/>
  <c r="AC32" i="34"/>
  <c r="AA33" i="34"/>
  <c r="U44" i="34"/>
  <c r="U34" i="34"/>
  <c r="U28" i="34"/>
  <c r="AA27" i="34"/>
  <c r="J25" i="34"/>
  <c r="W25" i="34"/>
  <c r="H25" i="34"/>
  <c r="F25" i="34"/>
  <c r="AA25" i="34"/>
  <c r="J23" i="34"/>
  <c r="F86" i="34"/>
  <c r="G86" i="34"/>
  <c r="F23" i="34"/>
  <c r="AA23" i="34"/>
  <c r="H23" i="34"/>
  <c r="W17" i="34"/>
  <c r="AC11" i="34"/>
  <c r="U11" i="34"/>
  <c r="W10" i="34"/>
  <c r="U10" i="34"/>
  <c r="AC40" i="34"/>
  <c r="W44" i="34"/>
  <c r="W19" i="34"/>
  <c r="AC21" i="34"/>
  <c r="W21" i="34"/>
  <c r="U15" i="34"/>
  <c r="AB21" i="34"/>
  <c r="U21" i="34"/>
  <c r="U27" i="34"/>
  <c r="U19" i="34"/>
  <c r="AB41" i="34"/>
  <c r="AA41" i="34"/>
  <c r="S9" i="34"/>
  <c r="S10" i="34"/>
  <c r="U39" i="33"/>
  <c r="U37" i="33"/>
  <c r="S35" i="33"/>
  <c r="W34" i="33"/>
  <c r="AC12" i="33"/>
  <c r="AB11" i="33"/>
  <c r="AB41" i="33"/>
  <c r="U36" i="33"/>
  <c r="AC35" i="33"/>
  <c r="S29" i="33"/>
  <c r="W31" i="33"/>
  <c r="W43" i="33"/>
  <c r="W39" i="33"/>
  <c r="U35" i="33"/>
  <c r="AB34" i="33"/>
  <c r="W26" i="33"/>
  <c r="AB26" i="33"/>
  <c r="H25" i="33"/>
  <c r="AB25" i="33"/>
  <c r="J25" i="33"/>
  <c r="W25" i="33"/>
  <c r="F87" i="33"/>
  <c r="G87" i="33"/>
  <c r="H87" i="33"/>
  <c r="I87" i="33"/>
  <c r="J87" i="33"/>
  <c r="K87" i="33"/>
  <c r="L87" i="33"/>
  <c r="M87" i="33"/>
  <c r="F25" i="33"/>
  <c r="AA25" i="33"/>
  <c r="F85" i="33"/>
  <c r="G85" i="33"/>
  <c r="J23" i="33"/>
  <c r="F23" i="33"/>
  <c r="S23" i="33"/>
  <c r="H23" i="33"/>
  <c r="U19" i="33"/>
  <c r="F79" i="33"/>
  <c r="G79" i="33"/>
  <c r="F17" i="33"/>
  <c r="H17" i="33"/>
  <c r="U17" i="33"/>
  <c r="J17" i="33"/>
  <c r="AB15" i="33"/>
  <c r="AC11" i="33"/>
  <c r="S10" i="33"/>
  <c r="S14" i="33"/>
  <c r="W10" i="33"/>
  <c r="AC21" i="33"/>
  <c r="W21" i="33"/>
  <c r="W14" i="33"/>
  <c r="AB10" i="33"/>
  <c r="AB21" i="33"/>
  <c r="U21" i="33"/>
  <c r="AA21" i="33"/>
  <c r="S21" i="33"/>
  <c r="AA36" i="33"/>
  <c r="S44" i="21"/>
  <c r="W39" i="21"/>
  <c r="AC34" i="21"/>
  <c r="U35" i="21"/>
  <c r="W43" i="21"/>
  <c r="AA37" i="21"/>
  <c r="S42" i="21"/>
  <c r="AB37" i="21"/>
  <c r="W28" i="21"/>
  <c r="AC46" i="21"/>
  <c r="AC26" i="21"/>
  <c r="AC11" i="21"/>
  <c r="AB11" i="21"/>
  <c r="AA11" i="21"/>
  <c r="AC21" i="21"/>
  <c r="W21" i="21"/>
  <c r="W44" i="21"/>
  <c r="W10" i="21"/>
  <c r="AC38" i="21"/>
  <c r="AB21" i="21"/>
  <c r="U21" i="21"/>
  <c r="AA30" i="21"/>
  <c r="W33" i="40"/>
  <c r="U33" i="40"/>
  <c r="S35" i="40"/>
  <c r="U15" i="40"/>
  <c r="S14" i="40"/>
  <c r="S15" i="40"/>
  <c r="AB13" i="40"/>
  <c r="S16" i="40"/>
  <c r="W11" i="40"/>
  <c r="AA21" i="40"/>
  <c r="U21" i="40"/>
  <c r="W25" i="40"/>
  <c r="W42" i="40"/>
  <c r="U35"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F88" i="40"/>
  <c r="G88" i="40"/>
  <c r="F19" i="40"/>
  <c r="AA19" i="40"/>
  <c r="H19" i="40"/>
  <c r="J19" i="40"/>
  <c r="W19" i="40"/>
  <c r="W17" i="40"/>
  <c r="AC17" i="40"/>
  <c r="F17" i="40"/>
  <c r="AA17" i="40"/>
  <c r="H17" i="40"/>
  <c r="AB17" i="40"/>
  <c r="W21" i="40"/>
  <c r="AB40" i="40"/>
  <c r="U10" i="40"/>
  <c r="U27" i="40"/>
  <c r="AB27" i="40"/>
  <c r="AC44" i="39"/>
  <c r="S11" i="39"/>
  <c r="AB45" i="39"/>
  <c r="S27" i="39"/>
  <c r="AA21" i="39"/>
  <c r="AC19" i="39"/>
  <c r="AC38" i="39"/>
  <c r="AC21" i="39"/>
  <c r="AC17" i="39"/>
  <c r="S14" i="39"/>
  <c r="AB15" i="39"/>
  <c r="U11" i="39"/>
  <c r="U41" i="39"/>
  <c r="U23" i="39"/>
  <c r="AB38" i="39"/>
  <c r="U31" i="39"/>
  <c r="AB31" i="39"/>
  <c r="S25" i="39"/>
  <c r="S38" i="39"/>
  <c r="S22" i="31"/>
  <c r="B22" i="63"/>
  <c r="M20" i="15"/>
  <c r="D96" i="9"/>
  <c r="F28" i="15"/>
  <c r="C28" i="15"/>
  <c r="M18" i="15"/>
  <c r="A18" i="64"/>
  <c r="B74" i="63"/>
  <c r="C53" i="10"/>
  <c r="A25" i="64"/>
  <c r="A18" i="51"/>
  <c r="B14" i="63"/>
  <c r="BA16" i="3"/>
  <c r="AZ16" i="3"/>
  <c r="BA17" i="3"/>
  <c r="AZ17" i="3"/>
  <c r="F3" i="35"/>
  <c r="K1" i="43"/>
  <c r="K1" i="12"/>
  <c r="AZ15" i="3"/>
  <c r="BK5" i="3"/>
  <c r="BO5" i="3"/>
  <c r="BP5" i="3"/>
  <c r="BN5" i="3"/>
  <c r="BL18" i="3"/>
  <c r="AZ18" i="3"/>
  <c r="BC5" i="3"/>
  <c r="E8" i="6"/>
  <c r="BD5" i="3"/>
  <c r="BR5" i="3"/>
  <c r="G28" i="6"/>
  <c r="G30" i="6"/>
  <c r="G31" i="6"/>
  <c r="BS5" i="3"/>
  <c r="BQ5" i="3"/>
  <c r="F28" i="6"/>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C16" i="46"/>
  <c r="C5" i="46"/>
  <c r="F39" i="46"/>
  <c r="H13" i="48"/>
  <c r="H11" i="48"/>
  <c r="E8" i="46"/>
  <c r="C7" i="46"/>
  <c r="I17" i="46"/>
  <c r="E17" i="46"/>
  <c r="D71" i="46"/>
  <c r="D84" i="46"/>
  <c r="E80" i="46"/>
  <c r="B78" i="46"/>
  <c r="D69" i="46"/>
  <c r="E69" i="46"/>
  <c r="B67" i="46"/>
  <c r="E47" i="46"/>
  <c r="E58" i="46"/>
  <c r="B56" i="46"/>
  <c r="A4" i="64"/>
  <c r="A4" i="51"/>
  <c r="C51" i="10"/>
  <c r="H58" i="46"/>
  <c r="H62" i="46"/>
  <c r="H75" i="46"/>
  <c r="I100" i="46"/>
  <c r="C24" i="46"/>
  <c r="N100" i="46"/>
  <c r="H100" i="46"/>
  <c r="F108" i="46"/>
  <c r="H80" i="46"/>
  <c r="B45" i="46"/>
  <c r="E100" i="46"/>
  <c r="G100" i="46"/>
  <c r="H84" i="46"/>
  <c r="H66" i="46"/>
  <c r="C100" i="46"/>
  <c r="J100" i="46"/>
  <c r="M100" i="46"/>
  <c r="U12" i="35"/>
  <c r="AB12" i="35"/>
  <c r="W11" i="35"/>
  <c r="AA11" i="35"/>
  <c r="S14" i="37"/>
  <c r="U13" i="37"/>
  <c r="C24" i="9"/>
  <c r="C25" i="9"/>
  <c r="AP7" i="1"/>
  <c r="G7" i="1"/>
  <c r="AP9" i="1"/>
  <c r="G9" i="1"/>
  <c r="AP8" i="1"/>
  <c r="G8" i="1"/>
  <c r="B6" i="63"/>
  <c r="L5" i="54"/>
  <c r="B39" i="63"/>
  <c r="K5" i="54"/>
  <c r="B38" i="63"/>
  <c r="T41" i="4"/>
  <c r="A17" i="64"/>
  <c r="B46" i="50"/>
  <c r="B4" i="63"/>
  <c r="C46" i="36"/>
  <c r="D46" i="36"/>
  <c r="E46" i="36"/>
  <c r="C59" i="34"/>
  <c r="D59" i="34"/>
  <c r="E59" i="34"/>
  <c r="C48" i="35"/>
  <c r="D48" i="35"/>
  <c r="C52" i="37"/>
  <c r="D52" i="37"/>
  <c r="C67" i="40"/>
  <c r="D65" i="40"/>
  <c r="P24" i="46"/>
  <c r="B68" i="40"/>
  <c r="P25" i="46"/>
  <c r="B73" i="39"/>
  <c r="P23" i="46"/>
  <c r="P21" i="46"/>
  <c r="P22" i="46"/>
  <c r="C72" i="39"/>
  <c r="D70" i="39"/>
  <c r="O19" i="46"/>
  <c r="H73" i="46"/>
  <c r="H74" i="46"/>
  <c r="H86" i="46"/>
  <c r="H82" i="46"/>
  <c r="H59" i="46"/>
  <c r="H60" i="46"/>
  <c r="H10" i="48"/>
  <c r="H87" i="46"/>
  <c r="H85" i="46"/>
  <c r="H83" i="46"/>
  <c r="K10" i="1"/>
  <c r="M10" i="1"/>
  <c r="O10" i="1"/>
  <c r="P10" i="1"/>
  <c r="S11" i="1"/>
  <c r="R11" i="1"/>
  <c r="S13" i="1"/>
  <c r="R13" i="1"/>
  <c r="B6" i="1"/>
  <c r="E6" i="1"/>
  <c r="B10" i="1"/>
  <c r="E10" i="1"/>
  <c r="S10" i="1"/>
  <c r="B8" i="1"/>
  <c r="E8" i="1"/>
  <c r="B12" i="1"/>
  <c r="E12" i="1"/>
  <c r="S12" i="1"/>
  <c r="K6" i="1"/>
  <c r="M6" i="1"/>
  <c r="C15" i="43"/>
  <c r="F66" i="36"/>
  <c r="G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U33" i="37"/>
  <c r="AC15" i="37"/>
  <c r="AA13" i="37"/>
  <c r="S12" i="37"/>
  <c r="W38" i="37"/>
  <c r="W36" i="37"/>
  <c r="U26" i="37"/>
  <c r="AB28" i="37"/>
  <c r="S28" i="37"/>
  <c r="W13" i="37"/>
  <c r="U38" i="37"/>
  <c r="S26" i="37"/>
  <c r="AB35" i="34"/>
  <c r="S19" i="34"/>
  <c r="S8" i="34"/>
  <c r="AA19" i="33"/>
  <c r="AC25" i="33"/>
  <c r="S43" i="33"/>
  <c r="AB42" i="33"/>
  <c r="AB14" i="33"/>
  <c r="S26" i="33"/>
  <c r="AB12" i="33"/>
  <c r="S15" i="33"/>
  <c r="S9" i="33"/>
  <c r="S39" i="21"/>
  <c r="AB25" i="21"/>
  <c r="W25" i="21"/>
  <c r="AA25" i="21"/>
  <c r="AC3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23" i="52"/>
  <c r="D24" i="15"/>
  <c r="F29" i="6"/>
  <c r="E29" i="6"/>
  <c r="K15" i="1"/>
  <c r="S14" i="36"/>
  <c r="AA20" i="36"/>
  <c r="W14" i="36"/>
  <c r="U14" i="36"/>
  <c r="AB14" i="36"/>
  <c r="U18"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U29" i="40"/>
  <c r="AB29" i="40"/>
  <c r="W29" i="40"/>
  <c r="S29" i="40"/>
  <c r="AC19" i="40"/>
  <c r="S19" i="40"/>
  <c r="AB19" i="40"/>
  <c r="U19" i="40"/>
  <c r="AC27" i="40"/>
  <c r="W27" i="40"/>
  <c r="W31" i="39"/>
  <c r="AC31" i="39"/>
  <c r="B20" i="31"/>
  <c r="R22" i="31"/>
  <c r="B21" i="31"/>
  <c r="A17" i="51"/>
  <c r="B13" i="63"/>
  <c r="E5" i="6"/>
  <c r="D21" i="12"/>
  <c r="C21" i="12"/>
  <c r="G29" i="6"/>
  <c r="H72" i="46"/>
  <c r="A9" i="64"/>
  <c r="A9" i="51"/>
  <c r="B9" i="63"/>
  <c r="A25" i="51"/>
  <c r="B18" i="63"/>
  <c r="A3" i="55"/>
  <c r="B56" i="63"/>
  <c r="D72" i="39"/>
  <c r="E70" i="39"/>
  <c r="F70" i="39"/>
  <c r="D67" i="40"/>
  <c r="E65" i="40"/>
  <c r="F65" i="40"/>
  <c r="E4" i="4"/>
  <c r="C4" i="4"/>
  <c r="B20" i="55"/>
  <c r="B70" i="63"/>
  <c r="J18" i="36"/>
  <c r="W18" i="36"/>
  <c r="AE8" i="1"/>
  <c r="F33" i="44"/>
  <c r="F31" i="15"/>
  <c r="F58" i="15"/>
  <c r="M17" i="15"/>
  <c r="M19" i="44"/>
  <c r="AC18" i="36"/>
  <c r="AG6" i="1"/>
  <c r="L20" i="6"/>
  <c r="B21" i="55"/>
  <c r="B72" i="63"/>
  <c r="E67" i="40"/>
  <c r="E72" i="39"/>
  <c r="S8" i="1"/>
  <c r="S9" i="1"/>
  <c r="R9" i="1"/>
  <c r="R8" i="1"/>
  <c r="L46" i="15"/>
  <c r="C45" i="9"/>
  <c r="H14" i="66"/>
  <c r="B7" i="66"/>
  <c r="C44" i="9"/>
  <c r="G14" i="66"/>
  <c r="B6" i="66"/>
  <c r="O40" i="9"/>
  <c r="K31" i="9"/>
  <c r="K32" i="9"/>
  <c r="R7" i="54"/>
  <c r="B52" i="63"/>
  <c r="N69" i="9"/>
  <c r="M86" i="9"/>
  <c r="N86" i="9"/>
  <c r="K29" i="9"/>
  <c r="K30" i="9"/>
  <c r="N76" i="9"/>
  <c r="C46" i="9"/>
  <c r="K33" i="9"/>
  <c r="O41" i="9"/>
  <c r="I14" i="66"/>
  <c r="B8" i="66"/>
  <c r="K34" i="9"/>
  <c r="R8" i="54"/>
  <c r="B54" i="63"/>
  <c r="E12" i="67"/>
  <c r="J7" i="65"/>
  <c r="I7" i="65"/>
  <c r="B12" i="67"/>
  <c r="B11" i="67"/>
  <c r="N6" i="65"/>
  <c r="B8" i="67"/>
  <c r="F8" i="67"/>
  <c r="F12" i="67"/>
  <c r="F14" i="67"/>
  <c r="N5" i="65"/>
  <c r="AE6" i="1"/>
  <c r="E13" i="67"/>
  <c r="E8" i="67"/>
  <c r="J5" i="65"/>
  <c r="F10" i="67"/>
  <c r="B9" i="67"/>
  <c r="E14" i="67"/>
  <c r="B14" i="67"/>
  <c r="E11" i="67"/>
  <c r="J4" i="65"/>
  <c r="E10" i="67"/>
  <c r="B10" i="67"/>
  <c r="I4" i="65"/>
  <c r="N3" i="65"/>
  <c r="F13" i="67"/>
  <c r="J3" i="65"/>
  <c r="I3" i="65"/>
  <c r="I5" i="65"/>
  <c r="B13" i="67"/>
  <c r="J6" i="65"/>
  <c r="N4" i="65"/>
  <c r="F9" i="67"/>
  <c r="I6" i="65"/>
  <c r="F11" i="67"/>
  <c r="N7" i="65"/>
  <c r="E9" i="67"/>
  <c r="E48" i="35"/>
  <c r="F48" i="35"/>
  <c r="G48" i="35"/>
  <c r="H48" i="35"/>
  <c r="I48" i="35"/>
  <c r="J48" i="35"/>
  <c r="K48" i="35"/>
  <c r="L48" i="35"/>
  <c r="M48" i="35"/>
  <c r="N48" i="35"/>
  <c r="O48" i="35"/>
  <c r="AA23" i="39"/>
  <c r="S23" i="39"/>
  <c r="S29" i="39"/>
  <c r="AA29" i="39"/>
  <c r="E58" i="33"/>
  <c r="F58" i="33"/>
  <c r="G58" i="33"/>
  <c r="H58" i="33"/>
  <c r="I58" i="33"/>
  <c r="J58" i="33"/>
  <c r="K58" i="33"/>
  <c r="L58" i="33"/>
  <c r="M58" i="33"/>
  <c r="N58" i="33"/>
  <c r="O58" i="33"/>
  <c r="J7" i="33"/>
  <c r="H7" i="33"/>
  <c r="F7" i="33"/>
  <c r="F67" i="40"/>
  <c r="G65" i="40"/>
  <c r="F72" i="39"/>
  <c r="G70" i="39"/>
  <c r="E52" i="37"/>
  <c r="F52" i="37"/>
  <c r="G52" i="37"/>
  <c r="H52" i="37"/>
  <c r="I52" i="37"/>
  <c r="J52" i="37"/>
  <c r="K52" i="37"/>
  <c r="L52" i="37"/>
  <c r="M52" i="37"/>
  <c r="N52" i="37"/>
  <c r="O52" i="37"/>
  <c r="J7" i="37"/>
  <c r="F59" i="34"/>
  <c r="G59" i="34"/>
  <c r="H59" i="34"/>
  <c r="I59" i="34"/>
  <c r="J59" i="34"/>
  <c r="K59" i="34"/>
  <c r="L59" i="34"/>
  <c r="M59" i="34"/>
  <c r="N59" i="34"/>
  <c r="O59" i="34"/>
  <c r="F46" i="36"/>
  <c r="G46" i="36"/>
  <c r="H46" i="36"/>
  <c r="I46" i="36"/>
  <c r="J46" i="36"/>
  <c r="K46" i="36"/>
  <c r="L46" i="36"/>
  <c r="M46" i="36"/>
  <c r="N46" i="36"/>
  <c r="O46" i="36"/>
  <c r="F7" i="36"/>
  <c r="E28" i="6"/>
  <c r="F30" i="6"/>
  <c r="M83" i="9"/>
  <c r="N83" i="9"/>
  <c r="N89" i="9"/>
  <c r="O89" i="9"/>
  <c r="M85" i="9"/>
  <c r="N85" i="9"/>
  <c r="M87" i="9"/>
  <c r="N87" i="9"/>
  <c r="M88" i="9"/>
  <c r="N88" i="9"/>
  <c r="M84" i="9"/>
  <c r="N84" i="9"/>
  <c r="O39" i="9"/>
  <c r="R6" i="54"/>
  <c r="B50" i="63"/>
  <c r="F7" i="37"/>
  <c r="H7" i="37"/>
  <c r="J7" i="36"/>
  <c r="H7" i="36"/>
  <c r="H7" i="35"/>
  <c r="J7" i="35"/>
  <c r="H7" i="34"/>
  <c r="J7" i="34"/>
  <c r="H70" i="46"/>
  <c r="S19" i="37"/>
  <c r="AB20" i="36"/>
  <c r="AC33" i="37"/>
  <c r="H64" i="46"/>
  <c r="H63" i="46"/>
  <c r="H69" i="46"/>
  <c r="H77" i="46"/>
  <c r="H65" i="46"/>
  <c r="H76" i="46"/>
  <c r="W29" i="39"/>
  <c r="AA23" i="40"/>
  <c r="S30" i="40"/>
  <c r="U25" i="40"/>
  <c r="U25" i="33"/>
  <c r="W37" i="34"/>
  <c r="AA32" i="37"/>
  <c r="AZ542" i="3"/>
  <c r="AZ502" i="3"/>
  <c r="AB30" i="33"/>
  <c r="U30" i="33"/>
  <c r="W28" i="33"/>
  <c r="AC28" i="33"/>
  <c r="H5" i="3"/>
  <c r="BA572" i="3"/>
  <c r="AZ572" i="3"/>
  <c r="S12" i="33"/>
  <c r="AA12" i="33"/>
  <c r="AB33" i="33"/>
  <c r="U33" i="33"/>
  <c r="H27" i="33"/>
  <c r="J27" i="33"/>
  <c r="F27" i="33"/>
  <c r="AC39" i="34"/>
  <c r="W39" i="34"/>
  <c r="U40" i="34"/>
  <c r="AB40" i="34"/>
  <c r="J46" i="33"/>
  <c r="F46" i="33"/>
  <c r="H46" i="33"/>
  <c r="H13" i="34"/>
  <c r="J13" i="34"/>
  <c r="F13" i="34"/>
  <c r="J29" i="34"/>
  <c r="F29" i="34"/>
  <c r="H29" i="34"/>
  <c r="J31" i="34"/>
  <c r="H31" i="34"/>
  <c r="F31" i="34"/>
  <c r="H45" i="34"/>
  <c r="J45" i="34"/>
  <c r="F45" i="34"/>
  <c r="H47" i="34"/>
  <c r="F47" i="34"/>
  <c r="J47" i="34"/>
  <c r="J34" i="35"/>
  <c r="H34" i="35"/>
  <c r="F34" i="35"/>
  <c r="G103" i="39"/>
  <c r="U12" i="37"/>
  <c r="AC41" i="34"/>
  <c r="AZ484" i="3"/>
  <c r="AZ550" i="3"/>
  <c r="AZ556" i="3"/>
  <c r="AC14" i="21"/>
  <c r="U30" i="21"/>
  <c r="AB30" i="21"/>
  <c r="U36" i="21"/>
  <c r="AB36" i="21"/>
  <c r="G571" i="3"/>
  <c r="AA8" i="21"/>
  <c r="S8" i="21"/>
  <c r="H13" i="21"/>
  <c r="J13" i="21"/>
  <c r="F13" i="21"/>
  <c r="H27" i="21"/>
  <c r="J27" i="21"/>
  <c r="F27" i="21"/>
  <c r="J29" i="21"/>
  <c r="H29" i="21"/>
  <c r="F29" i="21"/>
  <c r="J31" i="21"/>
  <c r="H31" i="21"/>
  <c r="F31" i="21"/>
  <c r="J45" i="21"/>
  <c r="F45" i="21"/>
  <c r="H45" i="21"/>
  <c r="H42" i="21"/>
  <c r="J42" i="21"/>
  <c r="AC33" i="33"/>
  <c r="W33" i="33"/>
  <c r="S28" i="34"/>
  <c r="AA28" i="34"/>
  <c r="J9" i="35"/>
  <c r="AA31" i="33"/>
  <c r="S31" i="33"/>
  <c r="H44" i="33"/>
  <c r="J44" i="33"/>
  <c r="F44" i="33"/>
  <c r="AC24" i="35"/>
  <c r="BI5" i="3"/>
  <c r="E12" i="6"/>
  <c r="A2" i="55"/>
  <c r="B55" i="63"/>
  <c r="AZ392" i="3"/>
  <c r="AZ397" i="3"/>
  <c r="AZ408" i="3"/>
  <c r="AZ413" i="3"/>
  <c r="AZ424" i="3"/>
  <c r="AZ437" i="3"/>
  <c r="AZ451" i="3"/>
  <c r="AZ457" i="3"/>
  <c r="AZ470" i="3"/>
  <c r="AZ473" i="3"/>
  <c r="AZ318" i="3"/>
  <c r="AZ334" i="3"/>
  <c r="AZ350" i="3"/>
  <c r="AZ208" i="3"/>
  <c r="AZ211" i="3"/>
  <c r="AZ224" i="3"/>
  <c r="AZ227" i="3"/>
  <c r="AZ243" i="3"/>
  <c r="S10" i="36"/>
  <c r="F12" i="36"/>
  <c r="U24" i="36"/>
  <c r="AC24" i="36"/>
  <c r="W31" i="35"/>
  <c r="U26" i="36"/>
  <c r="W23" i="36"/>
  <c r="W39" i="37"/>
  <c r="E7" i="21"/>
  <c r="F7" i="21"/>
  <c r="S7" i="21"/>
  <c r="I7" i="21"/>
  <c r="J7" i="21"/>
  <c r="G7" i="21"/>
  <c r="H7" i="21"/>
  <c r="AB7" i="21"/>
  <c r="W41" i="33"/>
  <c r="F25" i="37"/>
  <c r="J25" i="37"/>
  <c r="AZ432" i="3"/>
  <c r="AZ235" i="3"/>
  <c r="AZ259" i="3"/>
  <c r="AZ77" i="3"/>
  <c r="AZ251" i="3"/>
  <c r="AZ275" i="3"/>
  <c r="AZ279" i="3"/>
  <c r="AZ291" i="3"/>
  <c r="AZ294" i="3"/>
  <c r="AZ113" i="3"/>
  <c r="AZ116" i="3"/>
  <c r="AZ129" i="3"/>
  <c r="AZ132" i="3"/>
  <c r="AZ145" i="3"/>
  <c r="AZ148" i="3"/>
  <c r="AZ25" i="3"/>
  <c r="AZ30" i="3"/>
  <c r="AZ41" i="3"/>
  <c r="AZ46" i="3"/>
  <c r="AZ57" i="3"/>
  <c r="AZ62" i="3"/>
  <c r="AZ65" i="3"/>
  <c r="AZ68" i="3"/>
  <c r="AZ75" i="3"/>
  <c r="AZ85" i="3"/>
  <c r="AZ104" i="3"/>
  <c r="AZ108" i="3"/>
  <c r="AZ111" i="3"/>
  <c r="R12" i="1"/>
  <c r="K12" i="1"/>
  <c r="M12" i="1"/>
  <c r="D1" i="57"/>
  <c r="E10" i="57"/>
  <c r="I21" i="57"/>
  <c r="AA12" i="59"/>
  <c r="AA3" i="59"/>
  <c r="AA9" i="59"/>
  <c r="AA11" i="59"/>
  <c r="Y16" i="59"/>
  <c r="Z16" i="59"/>
  <c r="C17" i="59"/>
  <c r="AA20" i="59"/>
  <c r="E21" i="59"/>
  <c r="E22" i="59"/>
  <c r="E23" i="59"/>
  <c r="U23" i="59"/>
  <c r="T55" i="59"/>
  <c r="C54" i="59"/>
  <c r="D11" i="59"/>
  <c r="T11" i="59"/>
  <c r="C10" i="59"/>
  <c r="S31" i="39"/>
  <c r="T39" i="59"/>
  <c r="D38" i="59"/>
  <c r="D46" i="59"/>
  <c r="D13" i="59"/>
  <c r="Y3" i="59"/>
  <c r="Z3" i="59"/>
  <c r="Y10" i="59"/>
  <c r="Z10" i="59"/>
  <c r="Y8" i="59"/>
  <c r="Z8" i="59"/>
  <c r="AA8" i="59"/>
  <c r="X9" i="59"/>
  <c r="X12" i="59"/>
  <c r="AB12" i="59"/>
  <c r="F13" i="59"/>
  <c r="F14" i="59"/>
  <c r="F15" i="59"/>
  <c r="V15" i="59"/>
  <c r="AB3" i="59"/>
  <c r="AB9" i="59"/>
  <c r="Y13" i="59"/>
  <c r="Z13" i="59"/>
  <c r="AB13" i="59"/>
  <c r="Y14" i="59"/>
  <c r="Z14" i="59"/>
  <c r="AB14" i="59"/>
  <c r="Y15" i="59"/>
  <c r="Z15" i="59"/>
  <c r="AB15" i="59"/>
  <c r="X16" i="59"/>
  <c r="B17" i="59"/>
  <c r="B18" i="59"/>
  <c r="B19" i="59"/>
  <c r="S19" i="59"/>
  <c r="X8" i="59"/>
  <c r="X10" i="59"/>
  <c r="AB16" i="59"/>
  <c r="AB18" i="59"/>
  <c r="X20" i="59"/>
  <c r="AB20" i="59"/>
  <c r="F21" i="59"/>
  <c r="F22" i="59"/>
  <c r="F23" i="59"/>
  <c r="V23" i="59"/>
  <c r="AB21" i="59"/>
  <c r="C30" i="59"/>
  <c r="D30" i="59"/>
  <c r="D29" i="59"/>
  <c r="Q49" i="59"/>
  <c r="Q48" i="59"/>
  <c r="O51" i="59"/>
  <c r="C50" i="59"/>
  <c r="L16" i="4"/>
  <c r="K17" i="4"/>
  <c r="A22" i="51"/>
  <c r="B16" i="63"/>
  <c r="Y12" i="59"/>
  <c r="Z12" i="59"/>
  <c r="X13" i="59"/>
  <c r="AA14" i="59"/>
  <c r="X15" i="59"/>
  <c r="AA16" i="59"/>
  <c r="AB17" i="59"/>
  <c r="Y18" i="59"/>
  <c r="Z18" i="59"/>
  <c r="AB19" i="59"/>
  <c r="Y20" i="59"/>
  <c r="Z20" i="59"/>
  <c r="V11" i="59"/>
  <c r="K77" i="9"/>
  <c r="K79" i="9"/>
  <c r="K81" i="9"/>
  <c r="AI10" i="46"/>
  <c r="AI12" i="46"/>
  <c r="AE10" i="46"/>
  <c r="AE12" i="46"/>
  <c r="AA10" i="46"/>
  <c r="AA12" i="46"/>
  <c r="U11" i="59"/>
  <c r="E10" i="59"/>
  <c r="E9" i="59"/>
  <c r="Y7" i="59"/>
  <c r="Z7" i="59"/>
  <c r="AA7" i="59"/>
  <c r="X7" i="59"/>
  <c r="Y6" i="59"/>
  <c r="Z6" i="59"/>
  <c r="AA6" i="59"/>
  <c r="AB6" i="59"/>
  <c r="BL14" i="3"/>
  <c r="BA14" i="3"/>
  <c r="A28" i="64"/>
  <c r="C5" i="59"/>
  <c r="D5" i="59"/>
  <c r="D6" i="59"/>
  <c r="AB7" i="59"/>
  <c r="X6" i="59"/>
  <c r="X5" i="59"/>
  <c r="Y5" i="59"/>
  <c r="Z5" i="59"/>
  <c r="AB5" i="59"/>
  <c r="G13" i="3"/>
  <c r="BL13" i="3"/>
  <c r="F19" i="21"/>
  <c r="G81" i="21"/>
  <c r="H19" i="21"/>
  <c r="J19" i="21"/>
  <c r="F79" i="21"/>
  <c r="F17" i="21"/>
  <c r="H17" i="21"/>
  <c r="AA5" i="59"/>
  <c r="F15" i="21"/>
  <c r="G77" i="21"/>
  <c r="H15" i="21"/>
  <c r="J15" i="21"/>
  <c r="C20" i="46"/>
  <c r="L19" i="6"/>
  <c r="G14" i="3"/>
  <c r="C9" i="12"/>
  <c r="AP6" i="1"/>
  <c r="G6" i="1"/>
  <c r="C18" i="9"/>
  <c r="I1" i="65"/>
  <c r="B4" i="52"/>
  <c r="B6" i="52"/>
  <c r="E9" i="52"/>
  <c r="B10" i="52"/>
  <c r="E5" i="52"/>
  <c r="B16" i="52"/>
  <c r="E10" i="52"/>
  <c r="B8" i="52"/>
  <c r="B9" i="52"/>
  <c r="B7" i="52"/>
  <c r="E53" i="40"/>
  <c r="E58" i="39"/>
  <c r="F27" i="6"/>
  <c r="F31" i="6"/>
  <c r="D12" i="11"/>
  <c r="C12" i="11"/>
  <c r="AP16" i="1"/>
  <c r="F22" i="11"/>
  <c r="H16" i="1"/>
  <c r="I4" i="6"/>
  <c r="G3" i="46"/>
  <c r="AI11" i="46"/>
  <c r="AI13" i="46"/>
  <c r="M43" i="9"/>
  <c r="D18" i="9"/>
  <c r="M44" i="9"/>
  <c r="S23" i="21"/>
  <c r="AA23" i="21"/>
  <c r="E4" i="52"/>
  <c r="E16" i="52"/>
  <c r="B11" i="52"/>
  <c r="E8" i="52"/>
  <c r="B5" i="52"/>
  <c r="B13" i="52"/>
  <c r="B22" i="52"/>
  <c r="E21" i="52"/>
  <c r="B14" i="52"/>
  <c r="E6" i="52"/>
  <c r="E7" i="52"/>
  <c r="E85" i="21"/>
  <c r="F101" i="21"/>
  <c r="G101" i="21"/>
  <c r="J32" i="21"/>
  <c r="J13" i="39"/>
  <c r="F83" i="39"/>
  <c r="U7" i="21"/>
  <c r="AA7" i="21"/>
  <c r="AZ14" i="3"/>
  <c r="BA5" i="3"/>
  <c r="E27" i="6"/>
  <c r="K23" i="6"/>
  <c r="M23" i="6"/>
  <c r="I23" i="6"/>
  <c r="S23" i="6"/>
  <c r="K22" i="6"/>
  <c r="M22" i="6"/>
  <c r="I22" i="6"/>
  <c r="S22" i="6"/>
  <c r="Q16" i="1"/>
  <c r="F18" i="11"/>
  <c r="C18" i="11"/>
  <c r="G16" i="1"/>
  <c r="J12" i="40"/>
  <c r="G1" i="15"/>
  <c r="G5" i="3"/>
  <c r="B3" i="3"/>
  <c r="E413" i="3"/>
  <c r="K24" i="6"/>
  <c r="M24" i="6"/>
  <c r="I24" i="6"/>
  <c r="S24" i="6"/>
  <c r="K21" i="6"/>
  <c r="M21" i="6"/>
  <c r="I21" i="6"/>
  <c r="S21" i="6"/>
  <c r="L27" i="6"/>
  <c r="D101" i="46"/>
  <c r="L101" i="46"/>
  <c r="AB11" i="46"/>
  <c r="AB13" i="46"/>
  <c r="G1" i="44"/>
  <c r="O9" i="1"/>
  <c r="P9" i="1"/>
  <c r="O13" i="1"/>
  <c r="P13" i="1"/>
  <c r="O7" i="1"/>
  <c r="P7" i="1"/>
  <c r="O11" i="1"/>
  <c r="P11" i="1"/>
  <c r="O8" i="1"/>
  <c r="P8" i="1"/>
  <c r="O12" i="1"/>
  <c r="P12" i="1"/>
  <c r="O6" i="1"/>
  <c r="E20" i="46"/>
  <c r="C4" i="65"/>
  <c r="B39" i="1"/>
  <c r="J1" i="65"/>
  <c r="J17" i="44"/>
  <c r="M8" i="15"/>
  <c r="M30" i="44"/>
  <c r="M11" i="44"/>
  <c r="M22" i="15"/>
  <c r="M23" i="44"/>
  <c r="M31" i="44"/>
  <c r="F6" i="15"/>
  <c r="F37" i="15"/>
  <c r="F28" i="44"/>
  <c r="F8" i="44"/>
  <c r="M6" i="15"/>
  <c r="F40" i="15"/>
  <c r="C19" i="44"/>
  <c r="M26" i="15"/>
  <c r="F10" i="44"/>
  <c r="F42" i="15"/>
  <c r="M28" i="15"/>
  <c r="F46" i="44"/>
  <c r="L48" i="15"/>
  <c r="F7" i="15"/>
  <c r="M24" i="44"/>
  <c r="L49" i="44"/>
  <c r="F37" i="44"/>
  <c r="F45" i="44"/>
  <c r="F8" i="15"/>
  <c r="F9" i="15"/>
  <c r="J36" i="15"/>
  <c r="M26" i="44"/>
  <c r="L48" i="44"/>
  <c r="M8" i="44"/>
  <c r="E2" i="65"/>
  <c r="M23" i="15"/>
  <c r="M9" i="15"/>
  <c r="F16" i="15"/>
  <c r="M29" i="44"/>
  <c r="F36" i="15"/>
  <c r="F43" i="44"/>
  <c r="M28" i="44"/>
  <c r="F38" i="44"/>
  <c r="M27" i="15"/>
  <c r="F15" i="44"/>
  <c r="F11" i="44"/>
  <c r="M24" i="15"/>
  <c r="F38" i="15"/>
  <c r="F13" i="15"/>
  <c r="M25" i="44"/>
  <c r="F40" i="44"/>
  <c r="J15" i="15"/>
  <c r="L47" i="15"/>
  <c r="E3" i="65"/>
  <c r="F39" i="44"/>
  <c r="F9" i="44"/>
  <c r="M29" i="15"/>
  <c r="F18" i="44"/>
  <c r="F26" i="15"/>
  <c r="F43" i="15"/>
  <c r="M10" i="44"/>
  <c r="AA17" i="21"/>
  <c r="S17" i="21"/>
  <c r="E64" i="39"/>
  <c r="E59" i="40"/>
  <c r="K20" i="6"/>
  <c r="K26" i="6"/>
  <c r="M26" i="6"/>
  <c r="I26" i="6"/>
  <c r="S26" i="6"/>
  <c r="H32" i="21"/>
  <c r="AB15" i="21"/>
  <c r="U15" i="21"/>
  <c r="AA15" i="21"/>
  <c r="S15" i="21"/>
  <c r="AC19" i="21"/>
  <c r="W19" i="21"/>
  <c r="AZ13" i="3"/>
  <c r="AZ5" i="3"/>
  <c r="BL5" i="3"/>
  <c r="O50" i="59"/>
  <c r="D50" i="59"/>
  <c r="C49" i="59"/>
  <c r="D54" i="59"/>
  <c r="C53" i="59"/>
  <c r="D53" i="59"/>
  <c r="D17" i="59"/>
  <c r="C18" i="59"/>
  <c r="W25" i="37"/>
  <c r="AC25" i="37"/>
  <c r="AC7" i="21"/>
  <c r="W7" i="21"/>
  <c r="S12" i="36"/>
  <c r="AA12" i="36"/>
  <c r="AC44" i="33"/>
  <c r="W44" i="33"/>
  <c r="W9" i="35"/>
  <c r="AC9" i="35"/>
  <c r="AB42" i="21"/>
  <c r="U42" i="21"/>
  <c r="AA45" i="21"/>
  <c r="S45" i="21"/>
  <c r="AA31" i="21"/>
  <c r="S31" i="21"/>
  <c r="W31" i="21"/>
  <c r="AC31" i="21"/>
  <c r="U29" i="21"/>
  <c r="AB29" i="21"/>
  <c r="AA27" i="21"/>
  <c r="S27" i="21"/>
  <c r="AB27" i="21"/>
  <c r="U27" i="21"/>
  <c r="AC13" i="21"/>
  <c r="W13" i="21"/>
  <c r="S34" i="35"/>
  <c r="AA34" i="35"/>
  <c r="W34" i="35"/>
  <c r="AC34" i="35"/>
  <c r="AA47" i="34"/>
  <c r="S47" i="34"/>
  <c r="S45" i="34"/>
  <c r="AA45" i="34"/>
  <c r="U45" i="34"/>
  <c r="AB45" i="34"/>
  <c r="AB31" i="34"/>
  <c r="U31" i="34"/>
  <c r="U29" i="34"/>
  <c r="AB29" i="34"/>
  <c r="AC29" i="34"/>
  <c r="W29" i="34"/>
  <c r="AC13" i="34"/>
  <c r="W13" i="34"/>
  <c r="AB46" i="33"/>
  <c r="U46" i="33"/>
  <c r="W46" i="33"/>
  <c r="AC46" i="33"/>
  <c r="W27" i="33"/>
  <c r="AC27" i="33"/>
  <c r="E10" i="6"/>
  <c r="AB7" i="34"/>
  <c r="T49" i="34"/>
  <c r="G49" i="34"/>
  <c r="U7" i="34"/>
  <c r="AB7" i="35"/>
  <c r="T38" i="35"/>
  <c r="G38" i="35"/>
  <c r="U7" i="35"/>
  <c r="W7" i="36"/>
  <c r="AC7" i="36"/>
  <c r="V36" i="36"/>
  <c r="I36" i="36"/>
  <c r="AA7" i="37"/>
  <c r="R42" i="37"/>
  <c r="S7" i="37"/>
  <c r="E11" i="6"/>
  <c r="E14" i="6"/>
  <c r="AA7" i="36"/>
  <c r="R36" i="36"/>
  <c r="S7" i="36"/>
  <c r="W7" i="37"/>
  <c r="AC7" i="37"/>
  <c r="V42" i="37"/>
  <c r="I42" i="37"/>
  <c r="AB7" i="33"/>
  <c r="T48" i="33"/>
  <c r="G48" i="33"/>
  <c r="U7" i="33"/>
  <c r="F7" i="35"/>
  <c r="AC15" i="21"/>
  <c r="W15" i="21"/>
  <c r="AB17" i="21"/>
  <c r="U17" i="21"/>
  <c r="J17" i="21"/>
  <c r="G79" i="21"/>
  <c r="AB19" i="21"/>
  <c r="U19" i="21"/>
  <c r="AA19" i="21"/>
  <c r="S19" i="21"/>
  <c r="D10" i="59"/>
  <c r="C9" i="59"/>
  <c r="AA25" i="37"/>
  <c r="S25" i="37"/>
  <c r="S44" i="33"/>
  <c r="AA44" i="33"/>
  <c r="U44" i="33"/>
  <c r="AB44" i="33"/>
  <c r="W42" i="21"/>
  <c r="AC42" i="21"/>
  <c r="U45" i="21"/>
  <c r="AB45" i="21"/>
  <c r="W45" i="21"/>
  <c r="AC45" i="21"/>
  <c r="AB31" i="21"/>
  <c r="U31" i="21"/>
  <c r="S29" i="21"/>
  <c r="AA29" i="21"/>
  <c r="AC29" i="21"/>
  <c r="W29" i="21"/>
  <c r="W27" i="21"/>
  <c r="AC27" i="21"/>
  <c r="AA13" i="21"/>
  <c r="S13" i="21"/>
  <c r="U13" i="21"/>
  <c r="AB13" i="21"/>
  <c r="AB34" i="35"/>
  <c r="U34" i="35"/>
  <c r="AC47" i="34"/>
  <c r="W47" i="34"/>
  <c r="U47" i="34"/>
  <c r="AB47" i="34"/>
  <c r="W45" i="34"/>
  <c r="AC45" i="34"/>
  <c r="S31" i="34"/>
  <c r="AA31" i="34"/>
  <c r="AC31" i="34"/>
  <c r="W31" i="34"/>
  <c r="S29" i="34"/>
  <c r="AA29" i="34"/>
  <c r="AA13" i="34"/>
  <c r="S13" i="34"/>
  <c r="U13" i="34"/>
  <c r="AB13" i="34"/>
  <c r="S46" i="33"/>
  <c r="AA46" i="33"/>
  <c r="S27" i="33"/>
  <c r="AA27" i="33"/>
  <c r="AB27" i="33"/>
  <c r="U27" i="33"/>
  <c r="E13" i="6"/>
  <c r="W7" i="34"/>
  <c r="AC7" i="34"/>
  <c r="V49" i="34"/>
  <c r="I49" i="34"/>
  <c r="AC7" i="35"/>
  <c r="V38" i="35"/>
  <c r="I38" i="35"/>
  <c r="W7" i="35"/>
  <c r="AB7" i="36"/>
  <c r="T36" i="36"/>
  <c r="G36" i="36"/>
  <c r="U7" i="36"/>
  <c r="U7" i="37"/>
  <c r="AB7" i="37"/>
  <c r="T42" i="37"/>
  <c r="G42" i="37"/>
  <c r="E15" i="6"/>
  <c r="K14" i="1"/>
  <c r="E30" i="6"/>
  <c r="E31" i="6"/>
  <c r="F7" i="34"/>
  <c r="H70" i="39"/>
  <c r="G72" i="39"/>
  <c r="H65" i="40"/>
  <c r="G67" i="40"/>
  <c r="AA7" i="33"/>
  <c r="R48" i="33"/>
  <c r="S7" i="33"/>
  <c r="AC7" i="33"/>
  <c r="V48" i="33"/>
  <c r="I48" i="33"/>
  <c r="W7" i="33"/>
  <c r="F24" i="43"/>
  <c r="C26" i="43"/>
  <c r="D24" i="43"/>
  <c r="F33" i="12"/>
  <c r="C34" i="12"/>
  <c r="D33" i="12"/>
  <c r="B40" i="1"/>
  <c r="F24" i="15"/>
  <c r="C24" i="15"/>
  <c r="Y11" i="46"/>
  <c r="Y13" i="46"/>
  <c r="B113" i="46"/>
  <c r="H101" i="46"/>
  <c r="C23" i="46"/>
  <c r="C21" i="46"/>
  <c r="AG11" i="46"/>
  <c r="AG13" i="46"/>
  <c r="C101" i="46"/>
  <c r="N101" i="46"/>
  <c r="J101" i="46"/>
  <c r="AJ11" i="46"/>
  <c r="AJ13" i="46"/>
  <c r="F22" i="46"/>
  <c r="N104" i="45"/>
  <c r="AA11" i="46"/>
  <c r="AA13" i="46"/>
  <c r="AH11" i="46"/>
  <c r="AH13" i="46"/>
  <c r="G22" i="46"/>
  <c r="F101" i="46"/>
  <c r="E101" i="46"/>
  <c r="M101" i="46"/>
  <c r="K101" i="46"/>
  <c r="I101" i="46"/>
  <c r="G101" i="46"/>
  <c r="AE11" i="46"/>
  <c r="AE13" i="46"/>
  <c r="H22" i="46"/>
  <c r="E22" i="46"/>
  <c r="AC11" i="46"/>
  <c r="AC13" i="46"/>
  <c r="AD11" i="46"/>
  <c r="AD13" i="46"/>
  <c r="AF11" i="46"/>
  <c r="AF13" i="46"/>
  <c r="Z7" i="46"/>
  <c r="Z11" i="46"/>
  <c r="Z13" i="46"/>
  <c r="H12" i="39"/>
  <c r="U12" i="39"/>
  <c r="F85" i="21"/>
  <c r="G85" i="21"/>
  <c r="H23" i="21"/>
  <c r="J23" i="21"/>
  <c r="AC32" i="21"/>
  <c r="W32" i="21"/>
  <c r="F32" i="21"/>
  <c r="H101" i="21"/>
  <c r="I101" i="21"/>
  <c r="J101" i="21"/>
  <c r="K101" i="21"/>
  <c r="L101" i="21"/>
  <c r="M101" i="21"/>
  <c r="AB32" i="21"/>
  <c r="U32" i="21"/>
  <c r="G83" i="39"/>
  <c r="H83" i="39"/>
  <c r="I83" i="39"/>
  <c r="J83" i="39"/>
  <c r="K83" i="39"/>
  <c r="L83" i="39"/>
  <c r="M83" i="39"/>
  <c r="F13" i="39"/>
  <c r="W13" i="39"/>
  <c r="AC13" i="39"/>
  <c r="K19" i="6"/>
  <c r="K25" i="6"/>
  <c r="K27" i="6"/>
  <c r="M25" i="6"/>
  <c r="I25" i="6"/>
  <c r="S25" i="6"/>
  <c r="C6" i="15"/>
  <c r="F49" i="15"/>
  <c r="M7" i="15"/>
  <c r="J6" i="15"/>
  <c r="F70" i="15"/>
  <c r="F67" i="15"/>
  <c r="Q72" i="15"/>
  <c r="L59" i="15"/>
  <c r="Q62" i="15"/>
  <c r="L58" i="15"/>
  <c r="Q61" i="15"/>
  <c r="F50" i="15"/>
  <c r="C27" i="15"/>
  <c r="F63" i="15"/>
  <c r="F64" i="15"/>
  <c r="F65" i="15"/>
  <c r="I54" i="15"/>
  <c r="L56" i="15"/>
  <c r="J53" i="15"/>
  <c r="Q53" i="15"/>
  <c r="J57" i="15"/>
  <c r="J55" i="15"/>
  <c r="J58" i="15"/>
  <c r="Q51" i="15"/>
  <c r="L60" i="15"/>
  <c r="Q58" i="15"/>
  <c r="J12" i="39"/>
  <c r="H12" i="40"/>
  <c r="F12" i="39"/>
  <c r="F12" i="40"/>
  <c r="E86" i="3"/>
  <c r="E297" i="3"/>
  <c r="E561"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189" i="3"/>
  <c r="E37" i="3"/>
  <c r="E507"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0" i="3"/>
  <c r="E420"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102" i="46"/>
  <c r="F104" i="46"/>
  <c r="F106" i="46"/>
  <c r="F109" i="46"/>
  <c r="F103" i="46"/>
  <c r="F105" i="46"/>
  <c r="F107" i="46"/>
  <c r="E102" i="46"/>
  <c r="E104" i="46"/>
  <c r="E106" i="46"/>
  <c r="E109" i="46"/>
  <c r="E103" i="46"/>
  <c r="E105" i="46"/>
  <c r="E107" i="46"/>
  <c r="M103" i="46"/>
  <c r="M104" i="46"/>
  <c r="M105" i="46"/>
  <c r="M106" i="46"/>
  <c r="M102" i="46"/>
  <c r="M107" i="46"/>
  <c r="M109" i="46"/>
  <c r="K103" i="46"/>
  <c r="K104" i="46"/>
  <c r="K105" i="46"/>
  <c r="K106" i="46"/>
  <c r="K102" i="46"/>
  <c r="K107" i="46"/>
  <c r="K109" i="46"/>
  <c r="I103" i="46"/>
  <c r="I104" i="46"/>
  <c r="I105" i="46"/>
  <c r="I106" i="46"/>
  <c r="I107" i="46"/>
  <c r="I102" i="46"/>
  <c r="I109" i="46"/>
  <c r="G103" i="46"/>
  <c r="G104" i="46"/>
  <c r="G105" i="46"/>
  <c r="G106" i="46"/>
  <c r="G107" i="46"/>
  <c r="G102" i="46"/>
  <c r="G109"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N109" i="46"/>
  <c r="N102" i="46"/>
  <c r="N103" i="46"/>
  <c r="N104" i="46"/>
  <c r="N105" i="46"/>
  <c r="N106" i="46"/>
  <c r="N107" i="46"/>
  <c r="L103" i="46"/>
  <c r="L104" i="46"/>
  <c r="L105" i="46"/>
  <c r="L106" i="46"/>
  <c r="L102" i="46"/>
  <c r="L107" i="46"/>
  <c r="L109" i="46"/>
  <c r="J102" i="46"/>
  <c r="J103" i="46"/>
  <c r="J104" i="46"/>
  <c r="J105" i="46"/>
  <c r="J106" i="46"/>
  <c r="J107" i="46"/>
  <c r="J109" i="46"/>
  <c r="H103" i="46"/>
  <c r="H104" i="46"/>
  <c r="H105" i="46"/>
  <c r="H106" i="46"/>
  <c r="H107" i="46"/>
  <c r="H102" i="46"/>
  <c r="H109" i="46"/>
  <c r="D103" i="46"/>
  <c r="D105" i="46"/>
  <c r="D107" i="46"/>
  <c r="D102" i="46"/>
  <c r="D104" i="46"/>
  <c r="D106" i="46"/>
  <c r="D109" i="46"/>
  <c r="D22" i="46"/>
  <c r="AC12" i="40"/>
  <c r="W12" i="40"/>
  <c r="M20" i="6"/>
  <c r="S7" i="1"/>
  <c r="L60" i="44"/>
  <c r="Q63" i="44"/>
  <c r="L59" i="44"/>
  <c r="Q75" i="44"/>
  <c r="J58" i="44"/>
  <c r="J56" i="44"/>
  <c r="J59" i="44"/>
  <c r="Q52" i="44"/>
  <c r="I55" i="44"/>
  <c r="L57" i="44"/>
  <c r="J60" i="44"/>
  <c r="J54" i="44"/>
  <c r="F1" i="44"/>
  <c r="J61" i="44"/>
  <c r="Q50" i="44"/>
  <c r="C29" i="44"/>
  <c r="C8" i="44"/>
  <c r="M9" i="44"/>
  <c r="J8" i="44"/>
  <c r="Q73" i="44"/>
  <c r="J22" i="44"/>
  <c r="C36" i="44"/>
  <c r="P6" i="1"/>
  <c r="F17" i="11"/>
  <c r="C17" i="11"/>
  <c r="C19" i="11"/>
  <c r="F11" i="15"/>
  <c r="M11" i="15"/>
  <c r="J10" i="15"/>
  <c r="F13" i="44"/>
  <c r="C12" i="44"/>
  <c r="M13" i="44"/>
  <c r="J12" i="44"/>
  <c r="F21" i="43"/>
  <c r="P17" i="46"/>
  <c r="N17" i="46"/>
  <c r="O17" i="46"/>
  <c r="M17" i="46"/>
  <c r="C18" i="44"/>
  <c r="C16" i="15"/>
  <c r="C17" i="15"/>
  <c r="E3" i="6"/>
  <c r="AY6" i="3"/>
  <c r="I52" i="33"/>
  <c r="J52" i="33"/>
  <c r="R49" i="33"/>
  <c r="E48" i="33"/>
  <c r="I53" i="33"/>
  <c r="J53" i="33"/>
  <c r="I65" i="40"/>
  <c r="H67" i="40"/>
  <c r="I70" i="39"/>
  <c r="H72" i="39"/>
  <c r="E62" i="40"/>
  <c r="E67" i="39"/>
  <c r="G41" i="36"/>
  <c r="H41" i="36"/>
  <c r="G40" i="36"/>
  <c r="H40" i="36"/>
  <c r="I42" i="35"/>
  <c r="J42" i="35"/>
  <c r="D9" i="59"/>
  <c r="AA7" i="35"/>
  <c r="R38" i="35"/>
  <c r="S7" i="35"/>
  <c r="G52" i="33"/>
  <c r="H52" i="33"/>
  <c r="G53" i="33"/>
  <c r="H53" i="33"/>
  <c r="I46" i="37"/>
  <c r="J46" i="37"/>
  <c r="E66" i="39"/>
  <c r="E61" i="40"/>
  <c r="I40" i="36"/>
  <c r="J40" i="36"/>
  <c r="E16" i="6"/>
  <c r="S7" i="34"/>
  <c r="AA7" i="34"/>
  <c r="R49" i="34"/>
  <c r="K16" i="1"/>
  <c r="M14" i="1"/>
  <c r="G47" i="37"/>
  <c r="H47" i="37"/>
  <c r="G46" i="37"/>
  <c r="H46" i="37"/>
  <c r="I53" i="34"/>
  <c r="J53" i="34"/>
  <c r="E65" i="39"/>
  <c r="E60" i="40"/>
  <c r="AC17" i="21"/>
  <c r="W17" i="21"/>
  <c r="E36" i="36"/>
  <c r="I41" i="36"/>
  <c r="J41" i="36"/>
  <c r="R37" i="36"/>
  <c r="E63" i="39"/>
  <c r="E68" i="39"/>
  <c r="E58" i="40"/>
  <c r="E42" i="37"/>
  <c r="I47" i="37"/>
  <c r="J47" i="37"/>
  <c r="R43" i="37"/>
  <c r="G43" i="35"/>
  <c r="H43" i="35"/>
  <c r="G42" i="35"/>
  <c r="H42" i="35"/>
  <c r="G54" i="34"/>
  <c r="H54" i="34"/>
  <c r="G53" i="34"/>
  <c r="H53" i="34"/>
  <c r="C19" i="59"/>
  <c r="D18" i="59"/>
  <c r="D49" i="59"/>
  <c r="O48" i="59"/>
  <c r="O49" i="59"/>
  <c r="Q74" i="15"/>
  <c r="F1" i="15"/>
  <c r="F26" i="12"/>
  <c r="C27" i="12"/>
  <c r="D26" i="12"/>
  <c r="C32" i="12"/>
  <c r="D30" i="12"/>
  <c r="Q67" i="15"/>
  <c r="F26" i="44"/>
  <c r="C26" i="44"/>
  <c r="L47" i="44"/>
  <c r="Q75" i="15"/>
  <c r="C7" i="44"/>
  <c r="C34" i="44"/>
  <c r="Q62" i="44"/>
  <c r="AB12" i="39"/>
  <c r="H6" i="3"/>
  <c r="U23" i="21"/>
  <c r="AB23" i="21"/>
  <c r="T48" i="21"/>
  <c r="G48" i="21"/>
  <c r="AC23" i="21"/>
  <c r="V48" i="21"/>
  <c r="I48" i="21"/>
  <c r="I52" i="21"/>
  <c r="J52" i="21"/>
  <c r="W23" i="21"/>
  <c r="C48" i="15"/>
  <c r="AA32" i="21"/>
  <c r="R48" i="21"/>
  <c r="S32" i="21"/>
  <c r="AA13" i="39"/>
  <c r="S13" i="39"/>
  <c r="Q76" i="44"/>
  <c r="J5" i="15"/>
  <c r="J26" i="15"/>
  <c r="M19" i="6"/>
  <c r="I19" i="6"/>
  <c r="S19" i="6"/>
  <c r="S6" i="1"/>
  <c r="S16" i="1"/>
  <c r="AA12" i="39"/>
  <c r="S12" i="39"/>
  <c r="AC12" i="39"/>
  <c r="W12" i="39"/>
  <c r="AA12" i="40"/>
  <c r="S12" i="40"/>
  <c r="AB12" i="40"/>
  <c r="U12" i="40"/>
  <c r="Q54" i="44"/>
  <c r="AC6" i="3"/>
  <c r="E6" i="3"/>
  <c r="C115" i="46"/>
  <c r="D113" i="46"/>
  <c r="J22" i="46"/>
  <c r="I20" i="6"/>
  <c r="M27" i="6"/>
  <c r="S6" i="46"/>
  <c r="S2" i="46"/>
  <c r="S7" i="46"/>
  <c r="S5" i="46"/>
  <c r="S3" i="46"/>
  <c r="S4" i="46"/>
  <c r="J7" i="44"/>
  <c r="J28" i="44"/>
  <c r="J31" i="44"/>
  <c r="C15" i="12"/>
  <c r="J18" i="15"/>
  <c r="C23" i="43"/>
  <c r="D21" i="43"/>
  <c r="C10" i="15"/>
  <c r="C5" i="15"/>
  <c r="C52" i="15"/>
  <c r="C47" i="15"/>
  <c r="C20" i="11"/>
  <c r="C21" i="11"/>
  <c r="C22" i="11"/>
  <c r="C23" i="11"/>
  <c r="B2" i="11"/>
  <c r="AE7" i="1"/>
  <c r="C40" i="44"/>
  <c r="C43" i="37"/>
  <c r="B3" i="37"/>
  <c r="B2" i="37"/>
  <c r="C42" i="37"/>
  <c r="C37" i="36"/>
  <c r="B3" i="36"/>
  <c r="B2" i="36"/>
  <c r="C36" i="36"/>
  <c r="R39" i="35"/>
  <c r="E38" i="35"/>
  <c r="I72" i="39"/>
  <c r="J70" i="39"/>
  <c r="I67" i="40"/>
  <c r="J65" i="40"/>
  <c r="C48" i="33"/>
  <c r="C49" i="33"/>
  <c r="B3" i="33"/>
  <c r="B2" i="3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85" i="3"/>
  <c r="AY197" i="3"/>
  <c r="AY266" i="3"/>
  <c r="AY359" i="3"/>
  <c r="AY369" i="3"/>
  <c r="AY76" i="3"/>
  <c r="AY156" i="3"/>
  <c r="AY282" i="3"/>
  <c r="AY229" i="3"/>
  <c r="AY321" i="3"/>
  <c r="AY14" i="3"/>
  <c r="AY53" i="3"/>
  <c r="AY74" i="3"/>
  <c r="AY98" i="3"/>
  <c r="AY136" i="3"/>
  <c r="AY232" i="3"/>
  <c r="AY448" i="3"/>
  <c r="AY49" i="3"/>
  <c r="AY381" i="3"/>
  <c r="AY326" i="3"/>
  <c r="AY178" i="3"/>
  <c r="AY294" i="3"/>
  <c r="AY550" i="3"/>
  <c r="AY269" i="3"/>
  <c r="AY389" i="3"/>
  <c r="AY161" i="3"/>
  <c r="AY340" i="3"/>
  <c r="AY101" i="3"/>
  <c r="AY272" i="3"/>
  <c r="AY305"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504" i="3"/>
  <c r="AY83" i="3"/>
  <c r="AY182" i="3"/>
  <c r="AY45" i="3"/>
  <c r="AY217" i="3"/>
  <c r="AY383" i="3"/>
  <c r="AY427" i="3"/>
  <c r="AY170" i="3"/>
  <c r="AY214" i="3"/>
  <c r="AY476" i="3"/>
  <c r="AY116" i="3"/>
  <c r="AY366" i="3"/>
  <c r="AY548" i="3"/>
  <c r="AY256" i="3"/>
  <c r="AY81" i="3"/>
  <c r="AY295" i="3"/>
  <c r="AY342" i="3"/>
  <c r="AY194" i="3"/>
  <c r="AY279" i="3"/>
  <c r="AY16"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94" i="3"/>
  <c r="AY167" i="3"/>
  <c r="AY511" i="3"/>
  <c r="AY439" i="3"/>
  <c r="AY536" i="3"/>
  <c r="AY180" i="3"/>
  <c r="BJ6" i="3"/>
  <c r="AY477" i="3"/>
  <c r="AY517" i="3"/>
  <c r="AY292" i="3"/>
  <c r="AY535" i="3"/>
  <c r="AY452" i="3"/>
  <c r="AY523" i="3"/>
  <c r="AY16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6" i="3"/>
  <c r="AY162" i="3"/>
  <c r="AY225" i="3"/>
  <c r="AY380" i="3"/>
  <c r="AY413" i="3"/>
  <c r="AY22" i="3"/>
  <c r="AY184" i="3"/>
  <c r="AY211" i="3"/>
  <c r="AY319" i="3"/>
  <c r="AY562" i="3"/>
  <c r="AY537" i="3"/>
  <c r="AY73" i="3"/>
  <c r="AY144" i="3"/>
  <c r="AY57" i="3"/>
  <c r="AY262" i="3"/>
  <c r="AY349" i="3"/>
  <c r="AY397" i="3"/>
  <c r="AY149" i="3"/>
  <c r="AY379" i="3"/>
  <c r="AY463" i="3"/>
  <c r="AY135" i="3"/>
  <c r="AY372" i="3"/>
  <c r="AY62" i="3"/>
  <c r="AY376" i="3"/>
  <c r="AY30" i="3"/>
  <c r="AY230" i="3"/>
  <c r="AY542" i="3"/>
  <c r="AY132" i="3"/>
  <c r="AY382"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100" i="3"/>
  <c r="AY47" i="3"/>
  <c r="AY126" i="3"/>
  <c r="AY106" i="3"/>
  <c r="AY291" i="3"/>
  <c r="AY361" i="3"/>
  <c r="AY422" i="3"/>
  <c r="AY146" i="3"/>
  <c r="AY324" i="3"/>
  <c r="AY39" i="3"/>
  <c r="AY258" i="3"/>
  <c r="AY315" i="3"/>
  <c r="AY168" i="3"/>
  <c r="AY464" i="3"/>
  <c r="AY155" i="3"/>
  <c r="AY302" i="3"/>
  <c r="AY450" i="3"/>
  <c r="AY122" i="3"/>
  <c r="AY307"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541" i="3"/>
  <c r="AY570" i="3"/>
  <c r="AY466" i="3"/>
  <c r="AY255" i="3"/>
  <c r="AY496" i="3"/>
  <c r="AY521" i="3"/>
  <c r="AY474" i="3"/>
  <c r="AY354" i="3"/>
  <c r="AY482" i="3"/>
  <c r="BE6" i="3"/>
  <c r="AY441" i="3"/>
  <c r="AY121" i="3"/>
  <c r="AY491" i="3"/>
  <c r="AY508" i="3"/>
  <c r="AY301" i="3"/>
  <c r="AY164" i="3"/>
  <c r="AY403" i="3"/>
  <c r="AY469" i="3"/>
  <c r="AY514" i="3"/>
  <c r="AY177" i="3"/>
  <c r="AY454" i="3"/>
  <c r="AY263" i="3"/>
  <c r="AY499" i="3"/>
  <c r="AY524" i="3"/>
  <c r="AY391" i="3"/>
  <c r="AY231" i="3"/>
  <c r="AY507" i="3"/>
  <c r="AY300" i="3"/>
  <c r="H20" i="6"/>
  <c r="D19" i="59"/>
  <c r="M20" i="46"/>
  <c r="C19" i="46"/>
  <c r="T19" i="59"/>
  <c r="E46" i="37"/>
  <c r="F46" i="37"/>
  <c r="E47" i="37"/>
  <c r="F47" i="37"/>
  <c r="E41" i="36"/>
  <c r="F41" i="36"/>
  <c r="E40" i="36"/>
  <c r="F40" i="36"/>
  <c r="M16" i="1"/>
  <c r="O14" i="1"/>
  <c r="R50" i="34"/>
  <c r="E49" i="34"/>
  <c r="E52" i="33"/>
  <c r="F52" i="33"/>
  <c r="E53" i="33"/>
  <c r="F53" i="33"/>
  <c r="D16" i="43"/>
  <c r="C16" i="43"/>
  <c r="D10" i="11"/>
  <c r="D44" i="9"/>
  <c r="E6" i="6"/>
  <c r="L38" i="9"/>
  <c r="B14" i="66"/>
  <c r="B1" i="66"/>
  <c r="C21" i="4"/>
  <c r="O5" i="54"/>
  <c r="B45" i="63"/>
  <c r="D45" i="9"/>
  <c r="D16" i="12"/>
  <c r="D46" i="9"/>
  <c r="G52" i="21"/>
  <c r="H52" i="21"/>
  <c r="G53" i="21"/>
  <c r="H53" i="21"/>
  <c r="E48" i="21"/>
  <c r="R49" i="21"/>
  <c r="J26" i="44"/>
  <c r="J24" i="15"/>
  <c r="J20" i="44"/>
  <c r="S20" i="6"/>
  <c r="S27" i="6"/>
  <c r="I27" i="6"/>
  <c r="T13" i="1"/>
  <c r="T11" i="1"/>
  <c r="T6" i="1"/>
  <c r="T9" i="1"/>
  <c r="T12" i="1"/>
  <c r="T10" i="1"/>
  <c r="T8" i="1"/>
  <c r="T7" i="1"/>
  <c r="B3" i="11"/>
  <c r="B5" i="11"/>
  <c r="B4" i="11"/>
  <c r="C59" i="15"/>
  <c r="C65" i="15"/>
  <c r="C38" i="15"/>
  <c r="C32" i="15"/>
  <c r="Q67" i="44"/>
  <c r="Q49" i="44"/>
  <c r="Q55" i="44"/>
  <c r="Q58" i="44"/>
  <c r="L52" i="44"/>
  <c r="F41" i="15"/>
  <c r="C16" i="44"/>
  <c r="C14" i="15"/>
  <c r="L58" i="44"/>
  <c r="L61" i="44"/>
  <c r="Q69" i="44"/>
  <c r="C39" i="46"/>
  <c r="C37" i="46"/>
  <c r="C35" i="46"/>
  <c r="C33" i="46"/>
  <c r="T10" i="46"/>
  <c r="V10" i="46"/>
  <c r="T14" i="46"/>
  <c r="V14" i="46"/>
  <c r="T9" i="46"/>
  <c r="V9" i="46"/>
  <c r="T13" i="46"/>
  <c r="V13" i="46"/>
  <c r="C38" i="46"/>
  <c r="C36" i="46"/>
  <c r="C34" i="46"/>
  <c r="T8" i="46"/>
  <c r="V8" i="46"/>
  <c r="T12" i="46"/>
  <c r="V12" i="46"/>
  <c r="T16" i="46"/>
  <c r="V16" i="46"/>
  <c r="T11" i="46"/>
  <c r="V11" i="46"/>
  <c r="T15" i="46"/>
  <c r="V15" i="46"/>
  <c r="C29" i="46"/>
  <c r="T5" i="46"/>
  <c r="V5" i="46"/>
  <c r="T6" i="46"/>
  <c r="V6" i="46"/>
  <c r="T4" i="46"/>
  <c r="V4" i="46"/>
  <c r="T2" i="46"/>
  <c r="V2" i="46"/>
  <c r="T7" i="46"/>
  <c r="V7" i="46"/>
  <c r="T3" i="46"/>
  <c r="V3" i="46"/>
  <c r="E54" i="34"/>
  <c r="F54" i="34"/>
  <c r="E53" i="34"/>
  <c r="F53" i="34"/>
  <c r="I54" i="34"/>
  <c r="J54" i="34"/>
  <c r="C7" i="66"/>
  <c r="C8" i="66"/>
  <c r="C6" i="66"/>
  <c r="C50" i="34"/>
  <c r="B3" i="34"/>
  <c r="B2" i="34"/>
  <c r="C49" i="34"/>
  <c r="C13" i="43"/>
  <c r="L16" i="1"/>
  <c r="N16" i="1"/>
  <c r="C29" i="43"/>
  <c r="K38" i="9"/>
  <c r="C14" i="66"/>
  <c r="B2" i="66"/>
  <c r="C22" i="4"/>
  <c r="D26" i="6"/>
  <c r="D11" i="6"/>
  <c r="H25" i="6"/>
  <c r="D5" i="6"/>
  <c r="E45" i="9"/>
  <c r="D19" i="6"/>
  <c r="D25" i="6"/>
  <c r="R25" i="6"/>
  <c r="D13" i="6"/>
  <c r="D6" i="6"/>
  <c r="D14" i="6"/>
  <c r="D20" i="6"/>
  <c r="R20" i="6"/>
  <c r="R7" i="1"/>
  <c r="E44" i="9"/>
  <c r="E46" i="9"/>
  <c r="F45" i="9"/>
  <c r="H26" i="6"/>
  <c r="R26" i="6"/>
  <c r="H22" i="6"/>
  <c r="E63" i="40"/>
  <c r="D24" i="6"/>
  <c r="D22" i="6"/>
  <c r="D12" i="6"/>
  <c r="D9" i="6"/>
  <c r="D29" i="6"/>
  <c r="H19" i="6"/>
  <c r="D21" i="6"/>
  <c r="D10" i="6"/>
  <c r="H24" i="6"/>
  <c r="D23" i="6"/>
  <c r="D28" i="6"/>
  <c r="D30" i="6"/>
  <c r="D8" i="6"/>
  <c r="F46" i="9"/>
  <c r="D15" i="6"/>
  <c r="F44" i="9"/>
  <c r="H23" i="6"/>
  <c r="H21" i="6"/>
  <c r="C39" i="35"/>
  <c r="B3" i="35"/>
  <c r="B2" i="35"/>
  <c r="C38" i="35"/>
  <c r="D19" i="12"/>
  <c r="C19" i="12"/>
  <c r="C16" i="12"/>
  <c r="D22" i="12"/>
  <c r="C22" i="12"/>
  <c r="C20" i="12"/>
  <c r="D13" i="11"/>
  <c r="C13" i="11"/>
  <c r="P14" i="1"/>
  <c r="P16" i="1"/>
  <c r="C13" i="12"/>
  <c r="O16" i="1"/>
  <c r="J67" i="40"/>
  <c r="K65" i="40"/>
  <c r="J72" i="39"/>
  <c r="K70" i="39"/>
  <c r="E43" i="35"/>
  <c r="F43" i="35"/>
  <c r="E42" i="35"/>
  <c r="F42" i="35"/>
  <c r="I43" i="35"/>
  <c r="J43" i="35"/>
  <c r="J29" i="15"/>
  <c r="F68" i="15"/>
  <c r="C49" i="21"/>
  <c r="B3" i="21"/>
  <c r="C48" i="21"/>
  <c r="I53" i="21"/>
  <c r="J53" i="21"/>
  <c r="E53" i="21"/>
  <c r="F53" i="21"/>
  <c r="E52" i="21"/>
  <c r="F52" i="21"/>
  <c r="C18" i="15"/>
  <c r="C15" i="15"/>
  <c r="C17" i="44"/>
  <c r="C20" i="44"/>
  <c r="T16" i="1"/>
  <c r="Q68" i="44"/>
  <c r="Q77" i="44"/>
  <c r="Q59" i="44"/>
  <c r="Q64" i="44"/>
  <c r="M21" i="15"/>
  <c r="F35" i="15"/>
  <c r="C34" i="15"/>
  <c r="F62" i="15"/>
  <c r="C61" i="15"/>
  <c r="J20" i="15"/>
  <c r="L70" i="39"/>
  <c r="K72" i="39"/>
  <c r="L65" i="40"/>
  <c r="K67" i="40"/>
  <c r="R21" i="6"/>
  <c r="R24" i="6"/>
  <c r="R22" i="6"/>
  <c r="R19" i="6"/>
  <c r="D27" i="6"/>
  <c r="D31" i="6"/>
  <c r="A6" i="51"/>
  <c r="B7" i="63"/>
  <c r="A20" i="51"/>
  <c r="B15" i="63"/>
  <c r="A6" i="64"/>
  <c r="A20" i="64"/>
  <c r="N5" i="54"/>
  <c r="B43" i="63"/>
  <c r="C17" i="43"/>
  <c r="C14" i="43"/>
  <c r="G36" i="46"/>
  <c r="I36" i="46"/>
  <c r="E36" i="46"/>
  <c r="E33" i="46"/>
  <c r="G33" i="46"/>
  <c r="I33" i="46"/>
  <c r="G37" i="46"/>
  <c r="I37" i="46"/>
  <c r="E37" i="46"/>
  <c r="C14" i="12"/>
  <c r="C17" i="12"/>
  <c r="D16" i="6"/>
  <c r="R23" i="6"/>
  <c r="H27" i="6"/>
  <c r="D6" i="66"/>
  <c r="D7" i="66"/>
  <c r="D8" i="66"/>
  <c r="E29" i="46"/>
  <c r="C30" i="46"/>
  <c r="E30" i="46"/>
  <c r="C27" i="46"/>
  <c r="G34" i="46"/>
  <c r="I34" i="46"/>
  <c r="E34" i="46"/>
  <c r="G38" i="46"/>
  <c r="I38" i="46"/>
  <c r="E38" i="46"/>
  <c r="G35" i="46"/>
  <c r="I35" i="46"/>
  <c r="E35" i="46"/>
  <c r="G39" i="46"/>
  <c r="I39" i="46"/>
  <c r="E39" i="46"/>
  <c r="B2" i="21"/>
  <c r="C8" i="12"/>
  <c r="C10" i="12"/>
  <c r="C19" i="15"/>
  <c r="C20" i="15"/>
  <c r="C23" i="15"/>
  <c r="C21" i="44"/>
  <c r="C22" i="44"/>
  <c r="C25" i="44"/>
  <c r="F7" i="67"/>
  <c r="C18" i="43"/>
  <c r="E4" i="67"/>
  <c r="C19" i="43"/>
  <c r="C25" i="43"/>
  <c r="C24" i="43"/>
  <c r="R6" i="1"/>
  <c r="R16" i="1"/>
  <c r="R27" i="6"/>
  <c r="C26" i="46"/>
  <c r="C18" i="12"/>
  <c r="C23" i="12"/>
  <c r="I5" i="6"/>
  <c r="I6" i="6"/>
  <c r="M65" i="40"/>
  <c r="L67" i="40"/>
  <c r="L72" i="39"/>
  <c r="M70" i="39"/>
  <c r="C26" i="15"/>
  <c r="C29" i="15"/>
  <c r="C28" i="44"/>
  <c r="C31" i="44"/>
  <c r="C35" i="44"/>
  <c r="C33" i="44"/>
  <c r="E7" i="67"/>
  <c r="C22" i="43"/>
  <c r="C21" i="43"/>
  <c r="C28" i="43"/>
  <c r="C30" i="43"/>
  <c r="C32" i="43"/>
  <c r="B2" i="43"/>
  <c r="B5" i="43"/>
  <c r="E3" i="67"/>
  <c r="N65" i="40"/>
  <c r="N67" i="40"/>
  <c r="M67" i="40"/>
  <c r="B2" i="46"/>
  <c r="N70" i="39"/>
  <c r="N72" i="39"/>
  <c r="M72" i="39"/>
  <c r="C15" i="44"/>
  <c r="Q72" i="44"/>
  <c r="J21" i="44"/>
  <c r="J19" i="44"/>
  <c r="C38" i="44"/>
  <c r="J16" i="44"/>
  <c r="J15" i="44"/>
  <c r="J25" i="44"/>
  <c r="C36" i="15"/>
  <c r="C33" i="15"/>
  <c r="C31" i="15"/>
  <c r="J14" i="15"/>
  <c r="Q50" i="15"/>
  <c r="C13" i="15"/>
  <c r="J19" i="15"/>
  <c r="J17" i="15"/>
  <c r="C56" i="15"/>
  <c r="J59" i="15"/>
  <c r="J60" i="15"/>
  <c r="Q49" i="15"/>
  <c r="Q51" i="44"/>
  <c r="L57" i="15"/>
  <c r="B7" i="67"/>
  <c r="B3" i="43"/>
  <c r="B4" i="43"/>
  <c r="J24" i="44"/>
  <c r="B2" i="67"/>
  <c r="B3" i="46"/>
  <c r="D4" i="46"/>
  <c r="B4" i="46"/>
  <c r="F9" i="40"/>
  <c r="J9" i="40"/>
  <c r="H9" i="40"/>
  <c r="H9" i="39"/>
  <c r="F9" i="39"/>
  <c r="J9" i="39"/>
  <c r="C39" i="44"/>
  <c r="C32" i="44"/>
  <c r="C42" i="44"/>
  <c r="Q71" i="44"/>
  <c r="Q70" i="44"/>
  <c r="C43" i="44"/>
  <c r="C60" i="15"/>
  <c r="C58" i="15"/>
  <c r="C63" i="15"/>
  <c r="J35" i="15"/>
  <c r="Q71" i="15"/>
  <c r="C37" i="15"/>
  <c r="C30" i="15"/>
  <c r="C39" i="15"/>
  <c r="C55" i="15"/>
  <c r="C64" i="15"/>
  <c r="J22" i="15"/>
  <c r="J13" i="15"/>
  <c r="J23" i="15"/>
  <c r="J18" i="44"/>
  <c r="J27" i="44"/>
  <c r="L51" i="15"/>
  <c r="AC9" i="39"/>
  <c r="V49" i="39"/>
  <c r="I49" i="39"/>
  <c r="I53" i="39"/>
  <c r="J53" i="39"/>
  <c r="W9" i="39"/>
  <c r="U9" i="39"/>
  <c r="AB9" i="39"/>
  <c r="T49" i="39"/>
  <c r="G49" i="39"/>
  <c r="AC9" i="40"/>
  <c r="V44" i="40"/>
  <c r="I44" i="40"/>
  <c r="W9" i="40"/>
  <c r="AA9" i="39"/>
  <c r="R49" i="39"/>
  <c r="S9" i="39"/>
  <c r="AB9" i="40"/>
  <c r="T44" i="40"/>
  <c r="G44" i="40"/>
  <c r="U9" i="40"/>
  <c r="AA9" i="40"/>
  <c r="R44" i="40"/>
  <c r="S9" i="40"/>
  <c r="B3" i="67"/>
  <c r="B4" i="67"/>
  <c r="C44" i="44"/>
  <c r="C45" i="44"/>
  <c r="B2" i="44"/>
  <c r="B4" i="44"/>
  <c r="J16" i="15"/>
  <c r="J25" i="15"/>
  <c r="C57" i="15"/>
  <c r="C66" i="15"/>
  <c r="C67" i="15"/>
  <c r="Q68" i="15"/>
  <c r="Q70" i="15"/>
  <c r="Q69" i="15"/>
  <c r="C40" i="15"/>
  <c r="J39" i="15"/>
  <c r="J40" i="15"/>
  <c r="R45" i="40"/>
  <c r="E44" i="40"/>
  <c r="E49" i="39"/>
  <c r="R50" i="39"/>
  <c r="G53" i="39"/>
  <c r="H53" i="39"/>
  <c r="G54" i="39"/>
  <c r="H54" i="39"/>
  <c r="G49" i="40"/>
  <c r="H49" i="40"/>
  <c r="G48" i="40"/>
  <c r="H48" i="40"/>
  <c r="I48" i="40"/>
  <c r="J48" i="40"/>
  <c r="I49" i="40"/>
  <c r="J49" i="40"/>
  <c r="B3" i="44"/>
  <c r="B5" i="44"/>
  <c r="C46" i="15"/>
  <c r="C70" i="15"/>
  <c r="B2" i="15"/>
  <c r="B3" i="15"/>
  <c r="D8" i="12"/>
  <c r="D10" i="12"/>
  <c r="C6" i="12"/>
  <c r="Q57" i="15"/>
  <c r="Q63" i="15"/>
  <c r="C43" i="15"/>
  <c r="Q48" i="15"/>
  <c r="Q54" i="15"/>
  <c r="Q66" i="15"/>
  <c r="Q76" i="15"/>
  <c r="J42" i="15"/>
  <c r="J43" i="15"/>
  <c r="C49" i="39"/>
  <c r="C50" i="39"/>
  <c r="E48" i="40"/>
  <c r="F48" i="40"/>
  <c r="E49" i="40"/>
  <c r="F49" i="40"/>
  <c r="I54" i="39"/>
  <c r="J54" i="39"/>
  <c r="E54" i="39"/>
  <c r="F54" i="39"/>
  <c r="E53" i="39"/>
  <c r="F53" i="39"/>
  <c r="C45" i="40"/>
  <c r="C44" i="40"/>
  <c r="C29" i="12"/>
  <c r="C24" i="12"/>
  <c r="B57" i="40"/>
  <c r="F57" i="40"/>
  <c r="B59" i="40"/>
  <c r="F59" i="40"/>
  <c r="B61" i="40"/>
  <c r="F61" i="40"/>
  <c r="B53" i="40"/>
  <c r="F53" i="40"/>
  <c r="B58" i="40"/>
  <c r="F58" i="40"/>
  <c r="B55" i="40"/>
  <c r="F55" i="40"/>
  <c r="B60" i="40"/>
  <c r="F60" i="40"/>
  <c r="B62" i="40"/>
  <c r="F62" i="40"/>
  <c r="B54" i="40"/>
  <c r="F54" i="40"/>
  <c r="B56" i="40"/>
  <c r="F56" i="40"/>
  <c r="F63" i="40"/>
  <c r="B2" i="40"/>
  <c r="B65" i="39"/>
  <c r="F65" i="39"/>
  <c r="B62" i="39"/>
  <c r="F62" i="39"/>
  <c r="B66" i="39"/>
  <c r="F66" i="39"/>
  <c r="B59" i="39"/>
  <c r="F59" i="39"/>
  <c r="B60" i="39"/>
  <c r="F60" i="39"/>
  <c r="B64" i="39"/>
  <c r="F64" i="39"/>
  <c r="B58" i="39"/>
  <c r="F58" i="39"/>
  <c r="B67" i="39"/>
  <c r="F67" i="39"/>
  <c r="B61" i="39"/>
  <c r="F61" i="39"/>
  <c r="B63" i="39"/>
  <c r="F63" i="39"/>
  <c r="C35" i="12"/>
  <c r="C33" i="12"/>
  <c r="C28" i="12"/>
  <c r="C26" i="12"/>
  <c r="C31" i="12"/>
  <c r="C30" i="12"/>
  <c r="F68" i="39"/>
  <c r="B2" i="39"/>
  <c r="B3" i="40"/>
  <c r="B4" i="40"/>
  <c r="B5" i="40"/>
  <c r="C36" i="12"/>
  <c r="B2" i="12"/>
  <c r="B4" i="12"/>
  <c r="D19" i="9"/>
  <c r="C19" i="9"/>
  <c r="D21" i="9"/>
  <c r="L43" i="9"/>
  <c r="B3" i="39"/>
  <c r="B5" i="39"/>
  <c r="B4" i="39"/>
  <c r="B3" i="12"/>
  <c r="B5" i="12"/>
  <c r="G19" i="9"/>
  <c r="C32" i="9"/>
  <c r="L44" i="9"/>
  <c r="D22" i="9"/>
  <c r="C20" i="9"/>
  <c r="C21" i="9"/>
  <c r="D20" i="9"/>
  <c r="N43" i="9"/>
  <c r="G21" i="9"/>
  <c r="G22" i="9"/>
  <c r="G20" i="9"/>
  <c r="O38" i="9"/>
  <c r="O43" i="9"/>
  <c r="C33" i="9"/>
  <c r="C34" i="9"/>
  <c r="C42" i="9"/>
  <c r="C35" i="9"/>
  <c r="F42" i="9"/>
  <c r="E42" i="9"/>
  <c r="P5" i="54"/>
  <c r="B46" i="63"/>
  <c r="M38" i="9"/>
  <c r="K27" i="9"/>
  <c r="R5" i="54"/>
  <c r="B48" i="63"/>
  <c r="N68" i="9"/>
  <c r="D14" i="66"/>
  <c r="D63" i="9"/>
  <c r="D42" i="9"/>
  <c r="Q5" i="54"/>
  <c r="B47" i="63"/>
  <c r="N38" i="9"/>
  <c r="K28" i="9"/>
  <c r="K26" i="9"/>
  <c r="K25" i="9"/>
  <c r="C96" i="9"/>
  <c r="C91" i="9"/>
  <c r="C90" i="9"/>
  <c r="D71" i="9"/>
  <c r="D66" i="9"/>
  <c r="N72" i="9"/>
  <c r="D70" i="9"/>
  <c r="C103" i="9"/>
  <c r="C111" i="9"/>
  <c r="C104" i="9"/>
  <c r="D77" i="9"/>
  <c r="N75" i="9"/>
  <c r="C82" i="9"/>
  <c r="C81" i="9"/>
  <c r="C85" i="9"/>
  <c r="C86" i="9"/>
  <c r="D72" i="9"/>
  <c r="E14" i="66"/>
  <c r="F14" i="66"/>
  <c r="C113" i="9"/>
  <c r="C97" i="9"/>
  <c r="C114" i="9"/>
  <c r="E114" i="9"/>
  <c r="E115" i="9"/>
  <c r="C98" i="9"/>
  <c r="E98" i="9"/>
  <c r="E99" i="9"/>
  <c r="C115" i="9"/>
  <c r="D76" i="9"/>
  <c r="D74" i="9"/>
  <c r="N74" i="9"/>
  <c r="O77" i="9"/>
  <c r="C99" i="9"/>
  <c r="O78" i="9"/>
  <c r="Q77" i="9"/>
  <c r="O79" i="9"/>
  <c r="O80" i="9"/>
  <c r="O81" i="9"/>
  <c r="E15" i="66"/>
  <c r="F15" i="66"/>
  <c r="E19" i="66"/>
  <c r="F19" i="66"/>
  <c r="D17" i="66"/>
  <c r="B5" i="66"/>
  <c r="D5" i="66"/>
  <c r="C5" i="66"/>
  <c r="F17" i="66"/>
  <c r="E17"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<sst xmlns="http://schemas.openxmlformats.org/spreadsheetml/2006/main" count="7613" uniqueCount="3231">
  <si>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</si>
  <si>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</si>
  <si>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</si>
  <si>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</si>
  <si>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</si>
  <si>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</si>
  <si>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</si>
  <si>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</si>
  <si>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</si>
  <si>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</si>
  <si>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</si>
  <si>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</si>
  <si>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</si>
  <si>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</si>
  <si>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</si>
  <si>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</si>
  <si>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</si>
  <si>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</si>
  <si>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</si>
  <si>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</si>
  <si>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</si>
  <si>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</si>
  <si>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</si>
  <si>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</si>
  <si>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</si>
  <si>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</si>
  <si>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</si>
  <si>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</si>
  <si>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</si>
  <si>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</si>
  <si>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</si>
  <si>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</si>
  <si>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</si>
  <si>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</si>
  <si>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</si>
  <si>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</si>
  <si>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</si>
  <si>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</si>
  <si>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</si>
  <si>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</si>
  <si>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</si>
  <si>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</si>
  <si>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</si>
  <si>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</si>
  <si>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</si>
  <si>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</si>
  <si>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</si>
  <si>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</si>
  <si>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</si>
  <si>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</si>
  <si>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</si>
  <si>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</si>
  <si>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</si>
  <si>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</si>
  <si>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</si>
  <si>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</si>
  <si>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</si>
  <si>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</si>
  <si>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</si>
  <si>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</si>
  <si>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</si>
  <si>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</si>
  <si>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</si>
  <si>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</si>
  <si>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</si>
  <si>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</si>
  <si>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</si>
  <si>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</si>
  <si>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</si>
  <si>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</si>
  <si>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</si>
  <si>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</si>
  <si>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</si>
  <si>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</si>
  <si>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</si>
  <si>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</si>
  <si>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</si>
  <si>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</si>
  <si>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</si>
  <si>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</si>
  <si>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</si>
  <si>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</si>
  <si>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</si>
  <si>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</si>
  <si>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</si>
  <si>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</si>
  <si>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</si>
  <si>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</si>
  <si>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</si>
  <si>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</si>
  <si>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</si>
  <si>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</si>
  <si>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</si>
  <si>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</si>
  <si>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</si>
  <si>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</si>
  <si>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</si>
  <si>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</si>
  <si>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</si>
  <si>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</si>
  <si>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</si>
  <si>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</si>
  <si>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</si>
  <si>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</si>
  <si>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</si>
  <si>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</si>
  <si>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</si>
  <si>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</si>
  <si>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</si>
  <si>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</si>
  <si>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</si>
  <si>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</si>
  <si>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</si>
  <si>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</si>
  <si>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</si>
  <si>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</si>
  <si>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</si>
  <si>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</si>
  <si>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</si>
  <si>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</si>
  <si>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</si>
  <si>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</si>
  <si>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</si>
  <si>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</si>
  <si>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</si>
  <si>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</si>
  <si>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</si>
  <si>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</si>
  <si>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</si>
  <si>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</si>
  <si>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</si>
  <si>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</si>
  <si>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</si>
  <si>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</si>
  <si>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</si>
  <si>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</si>
  <si>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</si>
  <si>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</si>
  <si>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</si>
  <si>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</si>
  <si>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</si>
  <si>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</si>
  <si>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</si>
  <si>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</si>
  <si>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</si>
  <si>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</si>
  <si>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</si>
  <si>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</si>
  <si>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</si>
  <si>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</si>
  <si>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</si>
  <si>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</si>
  <si>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</si>
  <si>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</si>
  <si>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</si>
  <si>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</si>
  <si>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</si>
  <si>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</si>
  <si>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</si>
  <si>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</si>
  <si>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</si>
  <si>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</si>
  <si>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</si>
  <si>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</si>
  <si>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</si>
  <si>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</si>
  <si>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</si>
  <si>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</si>
  <si>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</si>
  <si>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</si>
  <si>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</si>
  <si>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</si>
  <si>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</si>
  <si>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</si>
  <si>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</si>
  <si>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</si>
  <si>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</si>
  <si>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</si>
  <si>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</si>
  <si>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</si>
  <si>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</si>
  <si>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</si>
  <si>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</si>
  <si>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</si>
  <si>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</si>
  <si>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</si>
  <si>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</si>
  <si>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</si>
  <si>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</si>
  <si>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</si>
  <si>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</si>
  <si>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</si>
  <si>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</si>
  <si>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</si>
  <si>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</si>
  <si>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</si>
  <si>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</si>
  <si>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</si>
  <si>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</si>
  <si>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</si>
  <si>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</si>
  <si>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</si>
  <si>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</si>
  <si>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</si>
  <si>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</si>
  <si>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</si>
  <si>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</si>
  <si>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</si>
  <si>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</si>
  <si>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</si>
  <si>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</si>
  <si>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</si>
  <si>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</si>
  <si>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</si>
  <si>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</si>
  <si>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</si>
  <si>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</si>
  <si>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</si>
  <si>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</si>
  <si>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</si>
  <si>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</si>
  <si>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</si>
  <si>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</si>
  <si>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</si>
  <si>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</si>
  <si>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</si>
  <si>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</si>
  <si>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</si>
  <si>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</si>
  <si>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</si>
  <si>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</si>
  <si>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</si>
  <si>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</si>
  <si>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</si>
  <si>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</si>
  <si>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</si>
  <si>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</si>
  <si>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</si>
  <si>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</si>
  <si>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</si>
  <si>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</si>
  <si>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</si>
  <si>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</si>
  <si>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</si>
  <si>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</si>
  <si>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</si>
  <si>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</si>
  <si>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</si>
  <si>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</si>
  <si>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</si>
  <si>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</si>
  <si>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</si>
  <si>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</si>
  <si>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</si>
  <si>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</si>
  <si>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</si>
  <si>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</si>
  <si>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</si>
  <si>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</si>
  <si>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</si>
  <si>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</si>
  <si>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</si>
  <si>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</si>
  <si>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</si>
  <si>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</si>
  <si>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</si>
  <si>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</si>
  <si>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</si>
  <si>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</si>
  <si>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</si>
  <si>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</si>
  <si>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</si>
  <si>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</si>
  <si>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</si>
  <si>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</si>
  <si>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</si>
  <si>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</si>
  <si>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</si>
  <si>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</si>
  <si>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</si>
  <si>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</si>
  <si>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</si>
  <si>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</si>
  <si>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</si>
  <si>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</si>
  <si>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</si>
  <si>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</si>
  <si>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</si>
  <si>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</si>
  <si>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</si>
  <si>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</si>
  <si>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</si>
  <si>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</si>
  <si>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</si>
  <si>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</si>
  <si>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</si>
  <si>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</si>
  <si>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</si>
  <si>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</si>
  <si>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</si>
  <si>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</si>
  <si>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</si>
  <si>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</si>
  <si>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</si>
  <si>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</si>
  <si>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</si>
  <si>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</si>
  <si>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</si>
  <si>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</si>
  <si>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</si>
  <si>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</si>
  <si>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</si>
  <si>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</si>
  <si>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</si>
  <si>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</si>
  <si>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</si>
  <si>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</si>
  <si>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</si>
  <si>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</si>
  <si>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</si>
  <si>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</si>
  <si>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</si>
  <si>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</si>
  <si>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</si>
  <si>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</si>
  <si>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</si>
  <si>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</si>
  <si>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</si>
  <si>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</si>
  <si>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</si>
  <si>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</si>
  <si>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</si>
  <si>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</si>
  <si>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</si>
  <si>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</si>
  <si>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</si>
  <si>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</si>
  <si>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</si>
  <si>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</si>
  <si>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</si>
  <si>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</si>
  <si>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</si>
  <si>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</si>
  <si>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</si>
  <si>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</si>
  <si>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</si>
  <si>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</si>
  <si>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</si>
  <si>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</si>
  <si>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</si>
  <si>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</si>
  <si>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</si>
  <si>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</si>
  <si>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</si>
  <si>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</si>
  <si>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</si>
  <si>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</si>
  <si>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</si>
  <si>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</si>
  <si>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</si>
  <si>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</si>
  <si>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</si>
  <si>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</si>
  <si>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</si>
  <si>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</si>
  <si>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</si>
  <si>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</si>
  <si>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</si>
  <si>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</si>
  <si>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</si>
  <si>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</si>
  <si>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</si>
  <si>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</si>
  <si>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</si>
  <si>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</si>
  <si>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</si>
  <si>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</si>
  <si>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</si>
  <si>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</si>
  <si>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</si>
  <si>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</si>
  <si>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</si>
  <si>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</si>
  <si>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</si>
  <si>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</si>
  <si>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</si>
  <si>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</si>
  <si>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</si>
  <si>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</si>
  <si>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</si>
  <si>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</si>
  <si>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</si>
  <si>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</si>
  <si>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</si>
  <si>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</si>
  <si>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</si>
  <si>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</si>
  <si>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</si>
  <si>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</si>
  <si>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</si>
  <si>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</si>
  <si>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</si>
  <si>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</si>
  <si>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</si>
  <si>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</si>
  <si>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</si>
  <si>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</si>
  <si>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</si>
  <si>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</si>
  <si>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</si>
  <si>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</si>
  <si>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</si>
  <si>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</si>
  <si>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</si>
  <si>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</si>
  <si>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</si>
  <si>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</si>
  <si>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</si>
  <si>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</si>
  <si>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</si>
  <si>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</si>
  <si>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</si>
  <si>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</si>
  <si>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</si>
  <si>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</si>
  <si>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</si>
  <si>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</si>
  <si>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</si>
  <si>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</si>
  <si>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</si>
  <si>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</si>
  <si>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</si>
  <si>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</si>
  <si>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</si>
  <si>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</si>
  <si>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</si>
  <si>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</si>
  <si>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</si>
  <si>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</si>
  <si>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</si>
  <si>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</si>
  <si>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</si>
  <si>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</si>
  <si>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</si>
  <si>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</si>
  <si>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</si>
  <si>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</si>
  <si>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</si>
  <si>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</si>
  <si>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</si>
  <si>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</si>
  <si>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</si>
  <si>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</si>
  <si>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</si>
  <si>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</si>
  <si>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</si>
  <si>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</si>
  <si>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</si>
  <si>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</si>
  <si>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</si>
  <si>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</si>
  <si>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</si>
  <si>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</si>
  <si>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</si>
  <si>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</si>
  <si>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</si>
  <si>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</si>
  <si>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</si>
  <si>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</si>
  <si>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</si>
  <si>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</si>
  <si>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</si>
  <si>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</si>
  <si>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</si>
  <si>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</si>
  <si>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</si>
  <si>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</si>
  <si>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</si>
  <si>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</si>
  <si>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</si>
  <si>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</si>
  <si>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</si>
  <si>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</si>
  <si>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</si>
  <si>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</si>
  <si>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</si>
  <si>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</si>
  <si>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</si>
  <si>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</si>
  <si>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</si>
  <si>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</si>
  <si>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</si>
  <si>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</si>
  <si>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</si>
  <si>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</si>
  <si>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</si>
  <si>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</si>
  <si>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</si>
  <si>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</si>
  <si>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</si>
  <si>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</si>
  <si>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</si>
  <si>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</si>
  <si>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</si>
  <si>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</si>
  <si>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</si>
  <si>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</si>
  <si>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</si>
  <si>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</si>
  <si>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</si>
  <si>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</si>
  <si>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</si>
  <si>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</si>
  <si>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</si>
  <si>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</si>
  <si>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</si>
  <si>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</si>
  <si>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</si>
  <si>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</si>
  <si>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</si>
  <si>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</si>
  <si>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</si>
  <si>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</si>
  <si>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</si>
  <si>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</si>
  <si>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</si>
  <si>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</si>
  <si>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</si>
  <si>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</si>
  <si>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</si>
  <si>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</si>
  <si>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</si>
  <si>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</si>
  <si>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</si>
  <si>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</si>
  <si>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</si>
  <si>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</si>
  <si>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</si>
  <si>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</si>
  <si>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</si>
  <si>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</si>
  <si>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</si>
  <si>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</si>
  <si>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</si>
  <si>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</si>
  <si>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</si>
  <si>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</si>
  <si>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</si>
  <si>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</si>
  <si>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</si>
  <si>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</si>
  <si>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</si>
  <si>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</si>
  <si>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</si>
  <si>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</si>
  <si>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</si>
  <si>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</si>
  <si>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</si>
  <si>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</si>
  <si>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</si>
  <si>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</si>
  <si>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</si>
  <si>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</si>
  <si>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</si>
  <si>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</si>
  <si>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</si>
  <si>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</si>
  <si>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</si>
  <si>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</si>
  <si>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</si>
  <si>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</si>
  <si>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</si>
  <si>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</si>
  <si>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</si>
  <si>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</si>
  <si>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</si>
  <si>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</si>
  <si>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</si>
  <si>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</si>
  <si>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</si>
  <si>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</si>
  <si>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</si>
  <si>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</si>
  <si>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</si>
  <si>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</si>
  <si>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</si>
  <si>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</si>
  <si>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</si>
  <si>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</si>
  <si>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</si>
  <si>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</si>
  <si>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</si>
  <si>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</si>
  <si>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</si>
  <si>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</si>
  <si>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</si>
  <si>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</si>
  <si>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</si>
  <si>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</si>
  <si>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</si>
  <si>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</si>
  <si>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</si>
  <si>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</si>
  <si>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</si>
  <si>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</si>
  <si>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</si>
  <si>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</si>
  <si>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</si>
  <si>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</si>
  <si>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</si>
  <si>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</si>
  <si>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</si>
  <si>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</si>
  <si>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</si>
  <si>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</si>
  <si>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</si>
  <si>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</si>
  <si>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</si>
  <si>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</si>
  <si>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</si>
  <si>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</si>
  <si>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</si>
  <si>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</si>
  <si>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</si>
  <si>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</si>
  <si>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</si>
  <si>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</si>
  <si>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</si>
  <si>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</si>
  <si>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</si>
  <si>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</si>
  <si>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</si>
  <si>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</si>
  <si>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</si>
  <si>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</si>
  <si>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</si>
  <si>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</si>
  <si>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</si>
  <si>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</si>
  <si>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</si>
  <si>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</si>
  <si>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</si>
  <si>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</si>
  <si>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</si>
  <si>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</si>
  <si>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</si>
  <si>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</si>
  <si>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</si>
  <si>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</si>
  <si>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</si>
  <si>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</si>
  <si>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</si>
  <si>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</si>
  <si>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</si>
  <si>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</si>
  <si>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</si>
  <si>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</si>
  <si>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</si>
  <si>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</si>
  <si>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</si>
  <si>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</si>
  <si>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</si>
  <si>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</si>
  <si>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</si>
  <si>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</si>
  <si>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</si>
  <si>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</si>
  <si>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</si>
  <si>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</si>
  <si>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</si>
  <si>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</si>
  <si>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</si>
  <si>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</si>
  <si>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</si>
  <si>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</si>
  <si>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</si>
  <si>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</si>
  <si>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</si>
  <si>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</si>
  <si>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</si>
  <si>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</si>
  <si>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</si>
  <si>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</si>
  <si>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</si>
  <si>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</si>
  <si>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</si>
  <si>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</si>
  <si>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</si>
  <si>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</si>
  <si>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</si>
  <si>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</si>
  <si>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</si>
  <si>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</si>
  <si>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</si>
  <si>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</si>
  <si>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</si>
  <si>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</si>
  <si>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</si>
  <si>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</si>
  <si>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</si>
  <si>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</si>
  <si>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</si>
  <si>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</si>
  <si>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</si>
  <si>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</si>
  <si>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</si>
  <si>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</si>
  <si>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</si>
  <si>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</si>
  <si>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</si>
  <si>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</si>
  <si>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</si>
  <si>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</si>
  <si>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</si>
  <si>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</si>
  <si>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</si>
  <si>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</si>
  <si>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</si>
  <si>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</si>
  <si>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</si>
  <si>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</si>
  <si>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</si>
  <si>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</si>
  <si>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</si>
  <si>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</si>
  <si>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</si>
  <si>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</si>
  <si>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</si>
  <si>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</si>
  <si>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</si>
  <si>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</si>
  <si>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</si>
  <si>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</si>
  <si>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</si>
  <si>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</si>
  <si>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</si>
  <si>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</si>
  <si>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</si>
  <si>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</si>
  <si>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</si>
  <si>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</si>
  <si>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</si>
  <si>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</si>
  <si>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</si>
  <si>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</si>
  <si>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</si>
  <si>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</si>
  <si>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</si>
  <si>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</si>
  <si>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</si>
  <si>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</si>
  <si>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</si>
  <si>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</si>
  <si>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</si>
  <si>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</si>
  <si>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</si>
  <si>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</si>
  <si>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</si>
  <si>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</si>
  <si>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</si>
  <si>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</si>
  <si>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</si>
  <si>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</si>
  <si>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</si>
  <si>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</si>
  <si>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</si>
  <si>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</si>
  <si>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</si>
  <si>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</si>
  <si>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</si>
  <si>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</si>
  <si>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</si>
  <si>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</si>
  <si>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</si>
  <si>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</si>
  <si>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</si>
  <si>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</si>
  <si>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</si>
  <si>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</si>
  <si>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</si>
  <si>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</si>
  <si>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</si>
  <si>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</si>
  <si>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</si>
  <si>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</si>
  <si>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</si>
  <si>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</si>
  <si>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</si>
  <si>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</si>
  <si>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</si>
  <si>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</si>
  <si>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</si>
  <si>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</si>
  <si>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</si>
  <si>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</si>
  <si>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</si>
  <si>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</si>
  <si>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</si>
  <si>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</si>
  <si>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</si>
  <si>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</si>
  <si>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</si>
  <si>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</si>
  <si>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</si>
  <si>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</si>
  <si>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</si>
  <si>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</si>
  <si>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</si>
  <si>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</si>
  <si>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</si>
  <si>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</si>
  <si>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</si>
  <si>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</si>
  <si>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</si>
  <si>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</si>
  <si>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</si>
  <si>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</si>
  <si>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</si>
  <si>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</si>
  <si>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</si>
  <si>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</si>
  <si>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</si>
  <si>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</si>
  <si>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</si>
  <si>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</si>
  <si>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</si>
  <si>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</si>
  <si>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</si>
  <si>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</si>
  <si>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</si>
  <si>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</si>
  <si>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</si>
  <si>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</si>
  <si>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</si>
  <si>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</si>
  <si>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</si>
  <si>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</si>
  <si>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</si>
  <si>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</si>
  <si>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</si>
  <si>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</si>
  <si>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</si>
  <si>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</si>
  <si>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</si>
  <si>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</si>
  <si>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</si>
  <si>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</si>
  <si>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</si>
  <si>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</si>
  <si>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</si>
  <si>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</si>
  <si>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</si>
  <si>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</si>
  <si>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</si>
  <si>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</si>
  <si>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</si>
  <si>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</si>
  <si>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</si>
  <si>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</si>
  <si>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</si>
  <si>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</si>
  <si>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</si>
  <si>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</si>
  <si>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</si>
  <si>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</si>
  <si>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</si>
  <si>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</si>
  <si>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</si>
  <si>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</si>
  <si>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</si>
  <si>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</si>
  <si>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</si>
  <si>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</si>
  <si>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</si>
  <si>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</si>
  <si>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</si>
  <si>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</si>
  <si>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</si>
  <si>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</si>
  <si>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</si>
  <si>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</si>
  <si>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</si>
  <si>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</si>
  <si>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</si>
  <si>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</si>
  <si>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</si>
  <si>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</si>
  <si>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</si>
  <si>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</si>
  <si>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</si>
  <si>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</si>
  <si>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</si>
  <si>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</si>
  <si>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</si>
  <si>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</si>
  <si>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</si>
  <si>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</si>
  <si>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</si>
  <si>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</si>
  <si>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</si>
  <si>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</si>
  <si>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</si>
  <si>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</si>
  <si>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</si>
  <si>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</si>
  <si>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</si>
  <si>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</si>
  <si>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</si>
  <si>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</si>
  <si>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</si>
  <si>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</si>
  <si>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</si>
  <si>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</si>
  <si>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</si>
  <si>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</si>
  <si>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</si>
  <si>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</si>
  <si>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</si>
  <si>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</si>
  <si>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</si>
  <si>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</si>
  <si>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</si>
  <si>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</si>
  <si>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</si>
  <si>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</si>
  <si>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</si>
  <si>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</si>
  <si>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</si>
  <si>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</si>
  <si>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</si>
  <si>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</si>
  <si>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</si>
  <si>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</si>
  <si>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</si>
  <si>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</si>
  <si>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</si>
  <si>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</si>
  <si>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</si>
  <si>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</si>
  <si>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</si>
  <si>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</si>
  <si>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</si>
  <si>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</si>
  <si>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</si>
  <si>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</si>
  <si>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</si>
  <si>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</si>
  <si>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</si>
  <si>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</si>
  <si>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</si>
  <si>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</si>
  <si>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</si>
  <si>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</si>
  <si>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</si>
  <si>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</si>
  <si>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</si>
  <si>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</si>
  <si>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</si>
  <si>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</si>
  <si>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</si>
  <si>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</si>
  <si>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</si>
  <si>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</si>
  <si>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</si>
  <si>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</si>
  <si>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</si>
  <si>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</si>
  <si>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</si>
  <si>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</si>
  <si>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</si>
  <si>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</si>
  <si>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</si>
  <si>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</si>
  <si>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</si>
  <si>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</si>
  <si>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</si>
  <si>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</si>
  <si>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</si>
  <si>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</si>
  <si>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</si>
  <si>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</si>
  <si>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</si>
  <si>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</si>
  <si>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</si>
  <si>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</si>
  <si>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</si>
  <si>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</si>
  <si>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</si>
  <si>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</si>
  <si>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</si>
  <si>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</si>
  <si>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</si>
  <si>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</si>
  <si>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</si>
  <si>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</si>
  <si>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</si>
  <si>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</si>
  <si>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</si>
  <si>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</si>
  <si>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</si>
  <si>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</si>
  <si>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</si>
  <si>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</si>
  <si>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</si>
  <si>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</si>
  <si>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</si>
  <si>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</si>
  <si>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</si>
  <si>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</si>
  <si>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</si>
  <si>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</si>
  <si>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</si>
  <si>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</si>
  <si>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</si>
  <si>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</si>
  <si>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</si>
  <si>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</si>
  <si>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</si>
  <si>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</si>
  <si>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</si>
  <si>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</si>
  <si>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</si>
  <si>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</si>
  <si>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</si>
  <si>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</si>
  <si>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</si>
  <si>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</si>
  <si>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</si>
  <si>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</si>
  <si>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</si>
  <si>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</si>
  <si>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</si>
  <si>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</si>
  <si>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</si>
  <si>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</si>
  <si>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</si>
  <si>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</si>
  <si>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</si>
  <si>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</si>
  <si>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</si>
  <si>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</si>
  <si>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</si>
  <si>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</si>
  <si>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</si>
  <si>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</si>
  <si>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</si>
  <si>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</si>
  <si>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</si>
  <si>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</si>
  <si>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</si>
  <si>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</si>
  <si>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</si>
  <si>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</si>
  <si>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</si>
  <si>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</si>
  <si>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</si>
  <si>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</si>
  <si>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</si>
  <si>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</si>
  <si>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</si>
  <si>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</si>
  <si>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</si>
  <si>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</si>
  <si>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</si>
  <si>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</si>
  <si>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</si>
  <si>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</si>
  <si>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</si>
  <si>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</si>
  <si>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</si>
  <si>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</si>
  <si>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</si>
  <si>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</si>
  <si>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</si>
  <si>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</si>
  <si>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</si>
  <si>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</si>
  <si>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</si>
  <si>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</si>
  <si>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</si>
  <si>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</si>
  <si>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</si>
  <si>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</si>
  <si>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</si>
  <si>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</si>
  <si>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</si>
  <si>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</si>
  <si>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</si>
  <si>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</si>
  <si>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</si>
  <si>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</si>
  <si>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</si>
  <si>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</si>
  <si>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</si>
  <si>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</si>
  <si>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</si>
  <si>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</si>
  <si>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</si>
  <si>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</si>
  <si>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</si>
  <si>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</si>
  <si>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</si>
  <si>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</si>
  <si>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</si>
  <si>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</si>
  <si>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</si>
  <si>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</si>
  <si>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</si>
  <si>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</si>
  <si>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</si>
  <si>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</si>
  <si>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</si>
  <si>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</si>
  <si>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</si>
  <si>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</si>
  <si>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</si>
  <si>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</si>
  <si>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</si>
  <si>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</si>
  <si>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</si>
  <si>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</si>
  <si>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</si>
  <si>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</si>
  <si>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</si>
  <si>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</si>
  <si>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</si>
  <si>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</si>
  <si>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</si>
  <si>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</si>
  <si>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</si>
  <si>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</si>
  <si>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</si>
  <si>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</si>
  <si>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</si>
  <si>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</si>
  <si>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</si>
  <si>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</si>
  <si>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</si>
  <si>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</si>
  <si>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</si>
  <si>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</si>
  <si>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</si>
  <si>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</si>
  <si>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</si>
  <si>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</si>
  <si>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</si>
  <si>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</si>
  <si>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</si>
  <si>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</si>
  <si>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</si>
  <si>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</si>
  <si>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</si>
  <si>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</si>
  <si>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</si>
  <si>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</si>
  <si>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</si>
  <si>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</si>
  <si>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</si>
  <si>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</si>
  <si>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</si>
  <si>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</si>
  <si>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</si>
  <si>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</si>
  <si>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</si>
  <si>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</si>
  <si>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</si>
  <si>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</si>
  <si>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</si>
  <si>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</si>
  <si>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</si>
  <si>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</si>
  <si>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</si>
  <si>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</si>
  <si>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</si>
  <si>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</si>
  <si>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</si>
  <si>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</si>
  <si>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</si>
  <si>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</si>
  <si>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</si>
  <si>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</si>
  <si>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</si>
  <si>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</si>
  <si>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</si>
  <si>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</si>
  <si>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</si>
  <si>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</si>
  <si>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</si>
  <si>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</si>
  <si>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</si>
  <si>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</si>
  <si>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</si>
  <si>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</si>
  <si>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</si>
  <si>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</si>
  <si>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</si>
  <si>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</si>
  <si>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</si>
  <si>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</si>
  <si>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</si>
  <si>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</si>
  <si>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</si>
  <si>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</si>
  <si>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</si>
  <si>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</si>
  <si>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</si>
  <si>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</si>
  <si>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</si>
  <si>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</si>
  <si>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</si>
  <si>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</si>
  <si>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</si>
  <si>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</si>
  <si>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</si>
  <si>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</si>
  <si>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</si>
  <si>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</si>
  <si>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</si>
  <si>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</si>
  <si>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</si>
  <si>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</si>
  <si>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</si>
  <si>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</si>
  <si>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</si>
  <si>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</si>
  <si>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</si>
  <si>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</si>
  <si>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</si>
  <si>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</si>
  <si>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</si>
  <si>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</si>
  <si>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</si>
  <si>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</si>
  <si>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</si>
  <si>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</si>
  <si>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</si>
  <si>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</si>
  <si>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</si>
  <si>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</si>
  <si>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</si>
  <si>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</si>
  <si>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</si>
  <si>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</si>
  <si>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</si>
  <si>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</si>
  <si>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</si>
  <si>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</si>
  <si>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</si>
  <si>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</si>
  <si>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</si>
  <si>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</si>
  <si>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</si>
  <si>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</si>
  <si>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</si>
  <si>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</si>
  <si>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</si>
  <si>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</si>
  <si>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</si>
  <si>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</si>
  <si>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</si>
  <si>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</si>
  <si>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</si>
  <si>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</si>
  <si>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</si>
  <si>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</si>
  <si>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</si>
  <si>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</si>
  <si>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</si>
  <si>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</si>
  <si>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</si>
  <si>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</si>
  <si>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</si>
  <si>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</si>
  <si>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</si>
  <si>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</si>
  <si>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</si>
  <si>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</si>
  <si>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</si>
  <si>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</si>
  <si>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</si>
  <si>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</si>
  <si>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</si>
  <si>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</si>
  <si>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</si>
  <si>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</si>
  <si>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</si>
  <si>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</si>
  <si>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</si>
  <si>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</si>
  <si>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</si>
  <si>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</si>
  <si>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</si>
  <si>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</si>
  <si>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</si>
  <si>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</si>
  <si>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</si>
  <si>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</si>
  <si>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</si>
  <si>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</si>
  <si>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</si>
  <si>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</si>
  <si>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</si>
  <si>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</si>
  <si>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</si>
  <si>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</si>
  <si>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</si>
  <si>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</si>
  <si>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</si>
  <si>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</si>
  <si>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</si>
  <si>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</si>
  <si>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</si>
  <si>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</si>
  <si>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</si>
  <si>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</si>
  <si>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</si>
  <si>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</si>
  <si>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</si>
  <si>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</si>
  <si>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</si>
  <si>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</si>
  <si>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</si>
  <si>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</si>
  <si>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</si>
  <si>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</si>
  <si>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</si>
  <si>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</si>
  <si>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</si>
  <si>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</si>
  <si>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</si>
  <si>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</si>
  <si>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</si>
  <si>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</si>
  <si>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</si>
  <si>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</si>
  <si>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</si>
  <si>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</si>
  <si>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</si>
  <si>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</si>
  <si>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</si>
  <si>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</si>
  <si>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</si>
  <si>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</si>
  <si>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</si>
  <si>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</si>
  <si>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</si>
  <si>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</si>
  <si>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</si>
  <si>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</si>
  <si>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</si>
  <si>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</si>
  <si>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</si>
  <si>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</si>
  <si>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</si>
  <si>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</si>
  <si>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</si>
  <si>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</si>
  <si>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</si>
  <si>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</si>
  <si>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</si>
  <si>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</si>
  <si>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</si>
  <si>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</si>
  <si>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</si>
  <si>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</si>
  <si>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</si>
  <si>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</si>
  <si>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</si>
  <si>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</si>
  <si>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</si>
  <si>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</si>
  <si>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</si>
  <si>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</si>
  <si>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</si>
  <si>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</si>
  <si>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</si>
  <si>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</si>
  <si>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</si>
  <si>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</si>
  <si>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</si>
  <si>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</si>
  <si>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</si>
  <si>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</si>
  <si>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</si>
  <si>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</si>
  <si>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</si>
  <si>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</si>
  <si>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</si>
  <si>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</si>
  <si>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</si>
  <si>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</si>
  <si>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</si>
  <si>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</si>
  <si>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</si>
  <si>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</si>
  <si>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</si>
  <si>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</si>
  <si>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</si>
  <si>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</si>
  <si>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</si>
  <si>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</si>
  <si>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</si>
  <si>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</si>
  <si>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</si>
  <si>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</si>
  <si>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</si>
  <si>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</si>
  <si>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</si>
  <si>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</si>
  <si>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</si>
  <si>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</si>
  <si>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</si>
  <si>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</si>
  <si>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</si>
  <si>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</si>
  <si>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</si>
  <si>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</si>
  <si>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</si>
  <si>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</si>
  <si>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</si>
  <si>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</si>
  <si>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</si>
  <si>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</si>
  <si>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</si>
  <si>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</si>
  <si>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</si>
  <si>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</si>
  <si>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</si>
  <si>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</si>
  <si>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</si>
  <si>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</si>
  <si>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</si>
  <si>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</si>
  <si>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</si>
  <si>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</si>
  <si>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</si>
  <si>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</si>
  <si>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</si>
  <si>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</si>
  <si>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</si>
  <si>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</si>
  <si>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</si>
  <si>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</si>
  <si>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</si>
  <si>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</si>
  <si>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</si>
  <si>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</si>
  <si>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</si>
  <si>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</si>
  <si>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</si>
  <si>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</si>
  <si>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</si>
  <si>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</si>
  <si>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</si>
  <si>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</si>
  <si>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</si>
  <si>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</si>
  <si>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</si>
  <si>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</si>
  <si>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</si>
  <si>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</si>
  <si>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</si>
  <si>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</si>
  <si>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</si>
  <si>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</si>
  <si>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</si>
  <si>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</si>
  <si>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</si>
  <si>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</si>
  <si>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</si>
  <si>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</si>
  <si>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</si>
  <si>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</si>
  <si>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</si>
  <si>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</si>
  <si>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</si>
  <si>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</si>
  <si>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</si>
  <si>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</si>
  <si>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</si>
  <si>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</si>
  <si>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</si>
  <si>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</si>
  <si>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</si>
  <si>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</si>
  <si>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</si>
  <si>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</si>
  <si>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</si>
  <si>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</si>
  <si>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</si>
  <si>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</si>
  <si>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</si>
  <si>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</si>
  <si>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</si>
  <si>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</si>
  <si>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</si>
  <si>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</si>
  <si>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</si>
  <si>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</si>
  <si>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</si>
  <si>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</si>
  <si>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</si>
  <si>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</si>
  <si>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</si>
  <si>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</si>
  <si>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</si>
  <si>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</si>
  <si>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</si>
  <si>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</si>
  <si>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</si>
  <si>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</si>
  <si>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</si>
  <si>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</si>
  <si>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</si>
  <si>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</si>
  <si>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</si>
  <si>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</si>
  <si>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</si>
  <si>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</si>
  <si>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</si>
  <si>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</si>
  <si>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</si>
  <si>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</si>
  <si>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</si>
  <si>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</si>
  <si>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</si>
  <si>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</si>
  <si>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</si>
  <si>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</si>
  <si>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</si>
  <si>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</si>
  <si>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</si>
  <si>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</si>
  <si>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</si>
  <si>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</si>
  <si>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</si>
  <si>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</si>
  <si>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</si>
  <si>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</si>
  <si>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</si>
  <si>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</si>
  <si>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</si>
  <si>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</si>
  <si>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</si>
  <si>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</si>
  <si>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</si>
  <si>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</si>
  <si>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</si>
  <si>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</si>
  <si>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</si>
  <si>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</si>
  <si>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</si>
  <si>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</si>
  <si>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</si>
  <si>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</si>
  <si>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</si>
  <si>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</si>
  <si>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</si>
  <si>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</si>
  <si>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</si>
  <si>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</si>
  <si>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</si>
  <si>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</si>
  <si>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</si>
  <si>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</si>
  <si>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</si>
  <si>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</si>
  <si>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</si>
  <si>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</si>
  <si>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</si>
  <si>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</si>
  <si>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</si>
  <si>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</si>
  <si>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</si>
  <si>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</si>
  <si>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</si>
  <si>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</si>
  <si>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</si>
  <si>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</si>
  <si>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</si>
  <si>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</si>
  <si>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</si>
  <si>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</si>
  <si>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</si>
  <si>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</si>
  <si>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</si>
  <si>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</si>
  <si>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</si>
  <si>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</si>
  <si>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</si>
  <si>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</si>
  <si>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</si>
  <si>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</si>
  <si>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</si>
  <si>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</si>
  <si>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</si>
  <si>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</si>
  <si>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</si>
  <si>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</si>
  <si>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</si>
  <si>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</si>
  <si>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</si>
  <si>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</si>
  <si>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</si>
  <si>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</si>
  <si>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</si>
  <si>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</si>
  <si>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</si>
  <si>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</si>
  <si>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</si>
  <si>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</si>
  <si>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</si>
  <si>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</si>
  <si>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</si>
  <si>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</si>
  <si>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</si>
  <si>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</si>
  <si>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</si>
  <si>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</si>
  <si>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</si>
  <si>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</si>
  <si>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</si>
  <si>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</si>
  <si>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</si>
  <si>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</si>
  <si>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</si>
  <si>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</si>
  <si>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</si>
  <si>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</si>
  <si>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</si>
  <si>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</si>
  <si>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</si>
  <si>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</si>
  <si>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</si>
  <si>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</si>
  <si>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</si>
  <si>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</si>
  <si>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</si>
  <si>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</si>
  <si>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</si>
  <si>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</si>
  <si>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</si>
  <si>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</si>
  <si>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</si>
  <si>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</si>
  <si>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</si>
  <si>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</si>
  <si>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</si>
  <si>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</si>
  <si>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</si>
  <si>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</si>
  <si>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</si>
  <si>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</si>
  <si>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</si>
  <si>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</si>
  <si>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</si>
  <si>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</si>
  <si>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</si>
  <si>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</si>
  <si>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</si>
  <si>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</si>
  <si>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</si>
  <si>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</si>
  <si>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</si>
  <si>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</si>
  <si>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</si>
  <si>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</si>
  <si>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</si>
  <si>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</si>
  <si>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</si>
  <si>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</si>
  <si>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</si>
  <si>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</si>
  <si>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</si>
  <si>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</si>
  <si>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</si>
  <si>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</si>
  <si>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</si>
  <si>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</si>
  <si>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</si>
  <si>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</si>
  <si>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</si>
  <si>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</si>
  <si>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</si>
  <si>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</si>
  <si>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</si>
  <si>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</si>
  <si>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</si>
  <si>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</si>
  <si>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</si>
  <si>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</si>
  <si>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</si>
  <si>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</si>
  <si>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</si>
  <si>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</si>
  <si>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</si>
  <si>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</si>
  <si>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</si>
  <si>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</si>
  <si>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</si>
  <si>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</si>
  <si>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</si>
  <si>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</si>
  <si>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</si>
  <si>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</si>
  <si>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</si>
  <si>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</si>
  <si>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</si>
  <si>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</si>
  <si>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</si>
  <si>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</si>
  <si>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</si>
  <si>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</si>
  <si>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</si>
  <si>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</si>
  <si>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</si>
  <si>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</si>
  <si>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</si>
  <si>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</si>
  <si>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</si>
  <si>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</si>
  <si>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</si>
  <si>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</si>
  <si>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</si>
  <si>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</si>
  <si>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</si>
  <si>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</si>
  <si>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</si>
  <si>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</si>
  <si>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</si>
  <si>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</si>
  <si>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</si>
  <si>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</si>
  <si>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</si>
  <si>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</si>
  <si>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</si>
  <si>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</si>
  <si>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</si>
  <si>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</si>
  <si>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</si>
  <si>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</si>
  <si>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</si>
  <si>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</si>
  <si>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</si>
  <si>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</si>
  <si>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</si>
  <si>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</si>
  <si>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</si>
  <si>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</si>
  <si>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</si>
  <si>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</si>
  <si>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</si>
  <si>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</si>
  <si>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</si>
  <si>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</si>
  <si>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</si>
  <si>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</si>
  <si>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</si>
  <si>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</si>
  <si>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</si>
  <si>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</si>
  <si>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</si>
  <si>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</si>
  <si>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</si>
  <si>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</si>
  <si>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</si>
  <si>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</si>
  <si>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</si>
  <si>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</si>
  <si>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</si>
  <si>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</si>
  <si>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</si>
  <si>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</si>
  <si>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</si>
  <si>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</si>
  <si>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</si>
  <si>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</si>
  <si>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</si>
  <si>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</si>
  <si>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</si>
  <si>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</si>
  <si>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</si>
  <si>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</si>
  <si>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</si>
  <si>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</si>
  <si>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</si>
  <si>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</si>
  <si>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</si>
  <si>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</si>
  <si>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</si>
  <si>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</si>
  <si>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</si>
  <si>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</si>
  <si>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</si>
  <si>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</si>
  <si>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</si>
  <si>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</si>
  <si>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</si>
  <si>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</si>
  <si>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</si>
  <si>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</si>
  <si>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</si>
  <si>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</si>
  <si>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</si>
  <si>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</si>
  <si>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</si>
  <si>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</si>
  <si>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</si>
  <si>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</si>
  <si>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</si>
  <si>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</si>
  <si>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</si>
  <si>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</si>
  <si>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</si>
  <si>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</si>
  <si>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</si>
  <si>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</si>
  <si>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</si>
  <si>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</si>
  <si>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</si>
  <si>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</si>
  <si>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</si>
  <si>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</si>
  <si>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</si>
  <si>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</si>
  <si>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</si>
  <si>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</si>
  <si>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</si>
  <si>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</si>
  <si>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</si>
  <si>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</si>
  <si>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</si>
  <si>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</si>
  <si>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</si>
  <si>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</si>
  <si>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</si>
  <si>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</si>
  <si>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</si>
  <si>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</si>
  <si>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</si>
  <si>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</si>
  <si>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</si>
  <si>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</si>
  <si>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</si>
  <si>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</si>
  <si>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</si>
  <si>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</si>
  <si>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</si>
  <si>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</si>
  <si>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</si>
  <si>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</si>
  <si>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</si>
  <si>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</si>
  <si>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</si>
  <si>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</si>
  <si>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</si>
  <si>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</si>
  <si>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</si>
  <si>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</si>
  <si>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</si>
  <si>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</si>
  <si>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</si>
  <si>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</si>
  <si>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</si>
  <si>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</si>
  <si>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</si>
  <si>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</si>
  <si>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</si>
  <si>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</si>
  <si>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</si>
  <si>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</si>
  <si>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</si>
  <si>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</si>
  <si>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</si>
  <si>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</si>
  <si>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</si>
  <si>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</si>
  <si>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</si>
  <si>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</si>
  <si>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</si>
  <si>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</si>
  <si>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</si>
  <si>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</si>
  <si>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</si>
  <si>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</si>
  <si>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</si>
  <si>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</si>
  <si>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</si>
  <si>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</si>
  <si>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</si>
  <si>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</si>
  <si>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</si>
  <si>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</si>
  <si>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</si>
  <si>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</si>
  <si>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</si>
  <si>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</si>
  <si>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</si>
  <si>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</si>
  <si>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</si>
  <si>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</si>
  <si>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</si>
  <si>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</si>
  <si>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</si>
  <si>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</si>
  <si>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</si>
  <si>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</si>
  <si>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</si>
  <si>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</si>
  <si>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</si>
  <si>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</si>
  <si>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</si>
  <si>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</si>
  <si>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</si>
  <si>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</si>
  <si>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</si>
  <si>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</si>
  <si>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</si>
  <si>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</si>
  <si>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</si>
  <si>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</si>
  <si>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</si>
  <si>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</si>
  <si>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</si>
  <si>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</si>
  <si>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</si>
  <si>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</si>
  <si>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</si>
  <si>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</si>
  <si>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</si>
  <si>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</si>
  <si>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</si>
  <si>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</si>
  <si>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</si>
  <si>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</si>
  <si>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</si>
  <si>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</si>
  <si>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</si>
  <si>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</si>
  <si>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</si>
  <si>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</si>
  <si>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</si>
  <si>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</si>
  <si>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</si>
  <si>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</si>
  <si>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</si>
  <si>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</si>
  <si>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</si>
  <si>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</si>
  <si>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</si>
  <si>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</si>
  <si>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</si>
  <si>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</si>
  <si>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</si>
  <si>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</si>
  <si>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</si>
  <si>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</si>
  <si>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</si>
  <si>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</si>
  <si>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</si>
  <si>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</si>
  <si>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</si>
  <si>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</si>
  <si>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</si>
  <si>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</si>
  <si>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</si>
  <si>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</si>
  <si>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</si>
  <si>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</si>
  <si>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</si>
  <si>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</si>
  <si>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</si>
  <si>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</si>
  <si>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</si>
  <si>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</si>
  <si>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</si>
  <si>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</si>
  <si>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</si>
  <si>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</si>
  <si>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</si>
  <si>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</si>
  <si>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</si>
  <si>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</si>
  <si>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</si>
  <si>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</si>
  <si>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</si>
  <si>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</si>
  <si>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</si>
  <si>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</si>
  <si>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</si>
  <si>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</si>
  <si>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</si>
  <si>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</si>
  <si>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</si>
  <si>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</si>
  <si>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</si>
  <si>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</si>
  <si>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</si>
  <si>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</si>
  <si>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</si>
  <si>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</si>
  <si>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</si>
  <si>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</si>
  <si>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</si>
  <si>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</si>
  <si>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</si>
  <si>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</si>
  <si>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</si>
  <si>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</si>
  <si>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</si>
  <si>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</si>
  <si>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</si>
  <si>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</si>
  <si>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</si>
  <si>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</si>
  <si>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</si>
  <si>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</si>
  <si>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</si>
  <si>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</si>
  <si>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</si>
  <si>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</si>
  <si>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</si>
  <si>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</si>
  <si>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</si>
  <si>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</si>
  <si>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</si>
  <si>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</si>
  <si>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</si>
  <si>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</si>
  <si>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</si>
  <si>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</si>
  <si>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</si>
  <si>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</si>
  <si>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</si>
  <si>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</si>
  <si>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</si>
  <si>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</si>
  <si>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</si>
  <si>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</si>
  <si>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</si>
  <si>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</si>
  <si>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</si>
  <si>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</si>
  <si>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</si>
  <si>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</si>
  <si>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</si>
  <si>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</si>
  <si>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</si>
  <si>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</si>
  <si>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</si>
  <si>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</si>
  <si>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</si>
  <si>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</si>
  <si>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</si>
  <si>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</si>
  <si>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</si>
  <si>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</si>
  <si>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</si>
  <si>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</si>
  <si>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</si>
  <si>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</si>
  <si>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</si>
  <si>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</si>
  <si>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</si>
  <si>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</si>
  <si>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</si>
  <si>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</si>
  <si>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</si>
  <si>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</si>
  <si>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</si>
  <si>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</si>
  <si>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</si>
  <si>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</si>
  <si>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</si>
  <si>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</si>
  <si>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</si>
  <si>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</si>
  <si>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</si>
  <si>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</si>
  <si>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</si>
  <si>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</si>
  <si>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</si>
  <si>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</si>
  <si>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</si>
  <si>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</si>
  <si>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</si>
  <si>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</si>
  <si>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</si>
  <si>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</si>
  <si>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</si>
  <si>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</si>
  <si>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</si>
  <si>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</si>
  <si>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</si>
  <si>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</si>
  <si>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</si>
  <si>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</si>
  <si>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</si>
  <si>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</si>
  <si>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</si>
  <si>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</si>
  <si>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</si>
  <si>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</si>
  <si>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</si>
  <si>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</si>
  <si>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</si>
  <si>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</si>
  <si>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</si>
  <si>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</si>
  <si>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</si>
  <si>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</si>
  <si>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</si>
  <si>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</si>
  <si>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</si>
  <si>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</si>
  <si>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</si>
  <si>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</si>
  <si>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</si>
  <si>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</si>
  <si>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</si>
  <si>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</si>
  <si>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</si>
  <si>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</si>
  <si>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</si>
  <si>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</si>
  <si>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</si>
  <si>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</si>
  <si>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</si>
  <si>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</si>
  <si>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</si>
  <si>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</si>
  <si>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</si>
  <si>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</si>
  <si>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</si>
  <si>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</si>
  <si>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</si>
  <si>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</si>
  <si>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</si>
  <si>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</si>
  <si>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</si>
  <si>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</si>
  <si>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</si>
  <si>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</si>
  <si>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</si>
  <si>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</si>
  <si>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</si>
  <si>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</si>
  <si>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</si>
  <si>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</si>
  <si>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</si>
  <si>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</si>
  <si>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</si>
  <si>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</si>
  <si>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</si>
  <si>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</si>
  <si>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</si>
  <si>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</si>
  <si>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</si>
  <si>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</si>
  <si>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</si>
  <si>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</si>
  <si>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</si>
  <si>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</si>
  <si>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</si>
  <si>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</si>
  <si>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</si>
  <si>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</si>
  <si>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</si>
  <si>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</si>
  <si>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</si>
  <si>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</si>
  <si>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</si>
  <si>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</si>
  <si>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</si>
  <si>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</si>
  <si>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</si>
  <si>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</si>
  <si>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</si>
  <si>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</si>
  <si>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</si>
  <si>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</si>
  <si>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</si>
  <si>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</si>
  <si>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</si>
  <si>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</si>
  <si>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</si>
  <si>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</si>
  <si>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</si>
  <si>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</si>
  <si>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</si>
  <si>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</si>
  <si>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</si>
  <si>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</si>
  <si>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</si>
  <si>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</si>
  <si>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</si>
  <si>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</si>
  <si>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</si>
  <si>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</si>
  <si>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</si>
  <si>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</si>
  <si>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</si>
  <si>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</si>
  <si>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</si>
  <si>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</si>
  <si>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</si>
  <si>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</si>
  <si>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</si>
  <si>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</si>
  <si>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</si>
  <si>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</si>
  <si>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</si>
  <si>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</si>
  <si>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</si>
  <si>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</si>
  <si>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</si>
  <si>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</si>
  <si>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</si>
  <si>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</si>
  <si>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</si>
  <si>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</si>
  <si>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</si>
  <si>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</si>
  <si>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</si>
  <si>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</si>
  <si>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</si>
  <si>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</si>
  <si>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</si>
  <si>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</si>
  <si>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</si>
  <si>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</si>
  <si>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</si>
  <si>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</si>
  <si>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</si>
  <si>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</si>
  <si>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</si>
  <si>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</si>
  <si>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</si>
  <si>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</si>
  <si>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</si>
  <si>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</si>
  <si>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</si>
  <si>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</si>
  <si>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</si>
  <si>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</si>
  <si>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</si>
  <si>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</si>
  <si>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</si>
  <si>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</si>
  <si>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</si>
  <si>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</si>
  <si>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</si>
  <si>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</si>
  <si>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</si>
  <si>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</si>
  <si>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</si>
  <si>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</si>
  <si>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</si>
  <si>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</si>
  <si>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</si>
  <si>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</si>
  <si>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</si>
  <si>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</si>
  <si>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</si>
  <si>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</si>
  <si>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</si>
  <si>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</si>
  <si>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</si>
  <si>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</si>
  <si>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</si>
  <si>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</si>
  <si>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</si>
  <si>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</si>
  <si>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</si>
  <si>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</si>
  <si>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</si>
  <si>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</si>
  <si>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</si>
  <si>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</si>
  <si>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</si>
  <si>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</si>
  <si>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</si>
  <si>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</si>
  <si>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</si>
  <si>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</si>
  <si>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</si>
  <si>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</si>
  <si>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</si>
  <si>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</si>
  <si>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</si>
  <si>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</si>
  <si>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</si>
  <si>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</si>
  <si>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</si>
  <si>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</si>
  <si>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</si>
  <si>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</si>
  <si>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</si>
  <si>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</si>
  <si>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</si>
  <si>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</si>
  <si>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</si>
  <si>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</si>
  <si>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</si>
  <si>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</si>
  <si>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</si>
  <si>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</si>
  <si>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</si>
  <si>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</si>
  <si>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</si>
  <si>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</si>
  <si>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</si>
  <si>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</si>
  <si>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</si>
  <si>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</si>
  <si>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</si>
  <si>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</si>
  <si>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</si>
  <si>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</si>
  <si>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</si>
  <si>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</si>
  <si>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</si>
  <si>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</si>
  <si>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</si>
  <si>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</si>
  <si>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</si>
  <si>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</si>
  <si>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</si>
  <si>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</si>
  <si>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</si>
  <si>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</si>
  <si>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</si>
  <si>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</si>
  <si>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</si>
  <si>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</si>
  <si>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</si>
  <si>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</si>
  <si>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</si>
  <si>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</si>
  <si>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</si>
  <si>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</si>
  <si>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</si>
  <si>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</si>
  <si>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</si>
  <si>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</si>
  <si>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</si>
  <si>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</si>
  <si>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</si>
  <si>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</si>
  <si>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</si>
  <si>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</si>
  <si>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</si>
  <si>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</si>
  <si>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</si>
  <si>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</si>
  <si>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</si>
  <si>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</si>
  <si>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</si>
  <si>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</si>
  <si>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</si>
  <si>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</si>
  <si>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</si>
  <si>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</si>
  <si>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</si>
  <si>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</si>
  <si>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</si>
  <si>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</si>
  <si>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</si>
  <si>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</si>
  <si>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</si>
  <si>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</si>
  <si>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</si>
  <si>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</si>
  <si>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</si>
  <si>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</si>
  <si>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</si>
  <si>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</si>
  <si>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</si>
  <si>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</si>
  <si>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</si>
  <si>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</si>
  <si>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</si>
  <si>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</si>
  <si>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</si>
  <si>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</si>
  <si>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</si>
  <si>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</si>
  <si>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</si>
  <si>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</si>
  <si>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</si>
  <si>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</si>
  <si>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</si>
  <si>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</si>
  <si>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</si>
  <si>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</si>
  <si>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</si>
  <si>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</si>
  <si>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</si>
  <si>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</si>
  <si>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</si>
  <si>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</si>
  <si>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</si>
  <si>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</si>
  <si>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</si>
  <si>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</si>
  <si>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</si>
  <si>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</si>
  <si>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</si>
  <si>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</si>
  <si>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</si>
  <si>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</si>
  <si>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</si>
  <si>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</si>
  <si>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</si>
  <si>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</si>
  <si>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</si>
  <si>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</si>
  <si>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</si>
  <si>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</si>
  <si>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</si>
  <si>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</si>
  <si>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</si>
  <si>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</si>
  <si>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</si>
  <si>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</si>
  <si>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</si>
  <si>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</si>
  <si>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</si>
  <si>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</si>
  <si>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</si>
  <si>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</si>
  <si>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</si>
  <si>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</si>
  <si>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</si>
  <si>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</si>
  <si>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</si>
  <si>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</si>
  <si>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</si>
  <si>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</si>
  <si>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</si>
  <si>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</si>
  <si>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</si>
  <si>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</si>
  <si>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</si>
  <si>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</si>
  <si>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</si>
  <si>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</si>
  <si>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</si>
  <si>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</si>
  <si>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</si>
  <si>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</si>
  <si>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</si>
  <si>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</si>
  <si>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</si>
  <si>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</si>
  <si>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</si>
  <si>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</si>
  <si>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</si>
  <si>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</si>
  <si>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</si>
  <si>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</si>
  <si>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</si>
  <si>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</si>
  <si>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</si>
  <si>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</si>
  <si>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</si>
  <si>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</si>
  <si>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</si>
  <si>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</si>
  <si>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</si>
  <si>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</si>
  <si>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</si>
  <si>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</si>
  <si>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</si>
  <si>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</si>
  <si>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</si>
  <si>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</si>
  <si>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</si>
  <si>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</si>
  <si>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</si>
  <si>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</si>
  <si>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</si>
  <si>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</si>
  <si>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</si>
  <si>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</si>
  <si>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</si>
  <si>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</si>
  <si>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</si>
  <si>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</si>
  <si>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</si>
  <si>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</si>
  <si>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</si>
  <si>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</si>
  <si>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</si>
  <si>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</si>
  <si>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</si>
  <si>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</si>
  <si>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</si>
  <si>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</si>
  <si>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</si>
  <si>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</si>
  <si>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</si>
  <si>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</si>
  <si>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</si>
  <si>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</si>
  <si>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</si>
  <si>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</si>
  <si>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</si>
  <si>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</si>
  <si>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</si>
  <si>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</si>
  <si>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</si>
  <si>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</si>
  <si>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</si>
  <si>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</si>
  <si>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</si>
  <si>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</si>
  <si>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</si>
  <si>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</si>
  <si>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</si>
  <si>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</si>
  <si>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</si>
  <si>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</si>
  <si>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</si>
  <si>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</si>
  <si>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</si>
  <si>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</si>
  <si>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</si>
  <si>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</si>
  <si>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</si>
  <si>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</si>
  <si>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</si>
  <si>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</si>
  <si>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</si>
  <si>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</si>
  <si>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</si>
  <si>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</si>
  <si>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</si>
  <si>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</si>
  <si>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</si>
  <si>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</si>
  <si>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</si>
  <si>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</si>
  <si>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</si>
  <si>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</si>
  <si>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</si>
  <si>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</si>
  <si>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</si>
  <si>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</si>
  <si>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</si>
  <si>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</si>
  <si>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</si>
  <si>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</si>
  <si>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</si>
  <si>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</si>
  <si>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</si>
  <si>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</si>
  <si>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</si>
  <si>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</si>
  <si>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</si>
  <si>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</si>
  <si>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</si>
  <si>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</si>
  <si>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</si>
  <si>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</si>
  <si>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</si>
  <si>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</si>
  <si>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</si>
  <si>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</si>
  <si>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</si>
  <si>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</si>
  <si>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</si>
  <si>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</si>
  <si>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</si>
  <si>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</si>
  <si>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</si>
  <si>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</si>
  <si>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</si>
  <si>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</si>
  <si>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</si>
  <si>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</si>
  <si>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</si>
  <si>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</si>
  <si>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</si>
  <si>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</si>
  <si>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</si>
  <si>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</si>
  <si>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</si>
  <si>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</si>
  <si>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</si>
  <si>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</si>
  <si>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</si>
  <si>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</si>
  <si>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</si>
  <si>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</si>
  <si>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</si>
  <si>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</si>
  <si>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</si>
  <si>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</si>
  <si>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</si>
  <si>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</si>
  <si>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</si>
  <si>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</si>
  <si>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</si>
  <si>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</si>
  <si>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</si>
  <si>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</si>
  <si>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</si>
  <si>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</si>
  <si>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</si>
  <si>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</si>
  <si>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</si>
  <si>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</si>
  <si>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</si>
  <si>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</si>
  <si>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</si>
  <si>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</si>
  <si>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</si>
  <si>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</si>
  <si>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</si>
  <si>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</si>
  <si>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</si>
  <si>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</si>
  <si>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</si>
  <si>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</si>
  <si>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</si>
  <si>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</si>
  <si>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</si>
  <si>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</si>
  <si>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</si>
  <si>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</si>
  <si>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</si>
  <si>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</si>
  <si>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</si>
  <si>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</si>
  <si>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</si>
  <si>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</si>
  <si>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</si>
  <si>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</si>
  <si>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</si>
  <si>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</si>
  <si>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</si>
  <si>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</si>
  <si>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</si>
  <si>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</si>
  <si>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</si>
  <si>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</si>
  <si>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</si>
  <si>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</si>
  <si>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</si>
  <si>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</si>
  <si>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</si>
  <si>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</si>
  <si>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</si>
  <si>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</si>
  <si>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</si>
  <si>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</si>
  <si>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</si>
  <si>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</si>
  <si>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</si>
  <si>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</si>
  <si>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</si>
  <si>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</si>
  <si>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</si>
  <si>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</si>
  <si>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</si>
  <si>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</si>
  <si>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</si>
  <si>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</si>
  <si>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</si>
  <si>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</si>
  <si>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</si>
  <si>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</si>
  <si>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</si>
  <si>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</si>
  <si>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</si>
  <si>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</si>
  <si>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</si>
  <si>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</si>
  <si>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</si>
  <si>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</si>
  <si>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</si>
  <si>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</si>
  <si>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</si>
  <si>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</si>
  <si>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</si>
  <si>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</si>
  <si>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</si>
  <si>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</si>
  <si>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</si>
  <si>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</si>
  <si>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</si>
  <si>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</si>
  <si>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</si>
  <si>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</si>
  <si>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</si>
  <si>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</si>
  <si>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</si>
  <si>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</si>
  <si>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</si>
  <si>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</si>
  <si>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</si>
  <si>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</si>
  <si>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</si>
  <si>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</si>
  <si>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</si>
  <si>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</si>
  <si>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</si>
  <si>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</si>
  <si>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</si>
  <si>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</si>
  <si>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</si>
  <si>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</si>
  <si>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</si>
  <si>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</si>
  <si>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</si>
  <si>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</si>
  <si>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</si>
  <si>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</si>
  <si>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</si>
  <si>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</si>
  <si>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</si>
  <si>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</si>
  <si>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</si>
  <si>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</si>
  <si>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</si>
  <si>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</si>
  <si>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</si>
  <si>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</si>
  <si>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</si>
  <si>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</si>
  <si>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</si>
  <si>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</si>
  <si>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</si>
  <si>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</si>
  <si>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</si>
  <si>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</si>
  <si>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</si>
  <si>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</si>
  <si>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</si>
  <si>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</si>
  <si>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</si>
  <si>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</si>
  <si>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</si>
  <si>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</si>
  <si>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</si>
  <si>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</si>
  <si>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</si>
  <si>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</si>
  <si>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</si>
  <si>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</si>
  <si>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</si>
  <si>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</si>
  <si>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</si>
  <si>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</si>
  <si>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</si>
  <si>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</si>
  <si>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</si>
  <si>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</si>
  <si>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</si>
  <si>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</si>
  <si>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</si>
  <si>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</si>
  <si>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</si>
  <si>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</si>
  <si>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</si>
  <si>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</si>
  <si>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</si>
  <si>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</si>
  <si>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</si>
  <si>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</si>
  <si>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</si>
  <si>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</si>
  <si>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</si>
  <si>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</si>
  <si>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</si>
  <si>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</si>
  <si>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</si>
  <si>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</si>
  <si>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</si>
  <si>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</si>
  <si>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</si>
  <si>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</si>
  <si>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</si>
  <si>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</si>
  <si>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</si>
  <si>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</si>
  <si>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</si>
  <si>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</si>
  <si>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</si>
  <si>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</si>
  <si>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</si>
  <si>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</si>
  <si>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</si>
  <si>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</si>
  <si>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</si>
  <si>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</si>
  <si>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</si>
  <si>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</si>
  <si>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</si>
  <si>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</si>
  <si>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</si>
  <si>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</si>
  <si>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</si>
  <si>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</si>
  <si>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</si>
  <si>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</si>
  <si>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</si>
  <si>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</si>
  <si>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</si>
  <si>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</si>
  <si>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</si>
  <si>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</si>
  <si>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</si>
  <si>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</si>
  <si>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</si>
  <si>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</si>
  <si>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</si>
  <si>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</si>
  <si>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</si>
  <si>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</si>
  <si>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</si>
  <si>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</si>
  <si>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</si>
  <si>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</si>
  <si>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</si>
  <si>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</si>
  <si>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</si>
  <si>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</si>
  <si>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</si>
  <si>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</si>
  <si>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</si>
  <si>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</si>
  <si>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</si>
  <si>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</si>
  <si>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</si>
  <si>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</si>
  <si>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</si>
  <si>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</si>
  <si>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</si>
  <si>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</si>
  <si>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</si>
  <si>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</si>
  <si>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</si>
  <si>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</si>
  <si>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</si>
  <si>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</si>
  <si>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</si>
  <si>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</si>
  <si>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</si>
  <si>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</si>
  <si>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</si>
  <si>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</si>
  <si>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</si>
  <si>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</si>
  <si>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</si>
  <si>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</si>
  <si>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</si>
  <si>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</si>
  <si>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</si>
  <si>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</si>
  <si>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</si>
  <si>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</si>
  <si>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</si>
  <si>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</si>
  <si>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</si>
  <si>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</si>
  <si>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</si>
  <si>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</si>
  <si>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</si>
  <si>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</si>
  <si>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</si>
  <si>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</si>
  <si>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</si>
  <si>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</si>
  <si>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</si>
  <si>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</si>
  <si>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</si>
  <si>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</si>
  <si>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</si>
  <si>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</si>
  <si>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</si>
  <si>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</si>
  <si>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</si>
  <si>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</si>
  <si>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</si>
  <si>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</si>
  <si>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</si>
  <si>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</si>
  <si>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</si>
  <si>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</si>
  <si>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</si>
  <si>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</si>
  <si>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</si>
  <si>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</si>
  <si>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</si>
  <si>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</si>
  <si>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</si>
  <si>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</si>
  <si>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</si>
  <si>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</si>
  <si>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</si>
  <si>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</si>
  <si>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</si>
  <si>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</si>
  <si>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</si>
  <si>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</si>
  <si>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</si>
  <si>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</si>
  <si>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</si>
  <si>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</si>
  <si>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</si>
  <si>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</si>
  <si>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</si>
  <si>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</si>
  <si>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</si>
  <si>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</si>
  <si>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</si>
  <si>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</si>
  <si>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</si>
  <si>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</si>
  <si>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</si>
  <si>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</si>
  <si>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</si>
  <si>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</si>
  <si>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</si>
  <si>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</si>
  <si>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</si>
  <si>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</si>
  <si>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</si>
  <si>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</si>
  <si>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</si>
  <si>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</si>
  <si>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</si>
  <si>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</si>
  <si>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</si>
  <si>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</si>
  <si>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</si>
  <si>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</si>
  <si>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</si>
  <si>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</si>
  <si>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</si>
  <si>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</si>
  <si>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</si>
  <si>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</si>
  <si>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</si>
  <si>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</si>
  <si>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</si>
  <si>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</si>
  <si>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</si>
  <si>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</si>
  <si>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</si>
  <si>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</si>
  <si>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</si>
  <si>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</si>
  <si>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</si>
  <si>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</si>
  <si>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</si>
  <si>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</si>
  <si>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</si>
  <si>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</si>
  <si>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</si>
  <si>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</si>
  <si>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</si>
  <si>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</si>
  <si>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</si>
  <si>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</si>
  <si>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</si>
  <si>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</si>
  <si>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</si>
  <si>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</si>
  <si>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</si>
  <si>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</si>
  <si>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</si>
  <si>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</si>
  <si>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</si>
  <si>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</si>
  <si>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</si>
  <si>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</si>
  <si>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</si>
  <si>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</si>
  <si>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</si>
  <si>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</si>
  <si>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</si>
  <si>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</si>
  <si>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</si>
  <si>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</si>
  <si>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</si>
  <si>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</si>
  <si>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</si>
  <si>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</si>
  <si>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</si>
  <si>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</si>
  <si>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</si>
  <si>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</si>
  <si>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旅游</t>
  </si>
  <si>
    <t>居住项目</t>
  </si>
  <si>
    <t>地上</t>
  </si>
  <si>
    <t>洋房</t>
  </si>
  <si>
    <t>正常</t>
  </si>
  <si>
    <t>联排</t>
  </si>
  <si>
    <t>九龙山风景区</t>
    <phoneticPr fontId="3" type="noConversion"/>
  </si>
  <si>
    <t>较差</t>
  </si>
  <si>
    <t>较好</t>
  </si>
  <si>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</si>
  <si>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</si>
  <si>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</si>
  <si>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</si>
  <si>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</si>
  <si>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</si>
  <si>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</si>
  <si>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</si>
  <si>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</si>
  <si>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</si>
  <si>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</si>
  <si>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</si>
  <si>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</si>
  <si>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</si>
  <si>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</si>
  <si>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</si>
  <si>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</si>
  <si>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</si>
  <si>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五通</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</si>
  <si>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</si>
  <si>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</si>
  <si>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</si>
  <si>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</si>
  <si>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</si>
  <si>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</si>
  <si>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</si>
  <si>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</si>
  <si>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</si>
  <si>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</si>
  <si>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</si>
  <si>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</si>
  <si>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</si>
  <si>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</si>
  <si>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地面单价</t>
    <phoneticPr fontId="3" type="noConversion"/>
  </si>
  <si>
    <t>成交楼面价(元/㎡)</t>
  </si>
  <si>
    <t>溢价率</t>
  </si>
  <si>
    <t>受让单位</t>
  </si>
  <si>
    <t>后白镇柴家村西侧局部地块B</t>
  </si>
  <si>
    <t>镇江市</t>
  </si>
  <si>
    <t>住宅用地</t>
  </si>
  <si>
    <t>大于1并且小于1.1</t>
  </si>
  <si>
    <t>挂牌</t>
  </si>
  <si>
    <t>2018-08-22</t>
  </si>
  <si>
    <t>江苏韵城文化旅游投资发展有限公司</t>
  </si>
  <si>
    <t>后白镇柴家村西侧局部地块A</t>
  </si>
  <si>
    <t>宁杭北路东侧、赤岗路西侧局部地块</t>
  </si>
  <si>
    <t>大于1并且小于5.5</t>
  </si>
  <si>
    <t>南京明发新城置业有限公司</t>
  </si>
  <si>
    <t>天王镇东顶水库南侧局部地块</t>
  </si>
  <si>
    <t>句容市大美置业有限公司</t>
  </si>
  <si>
    <t>后白镇柴家村西侧局部地块D</t>
  </si>
  <si>
    <t>茅山镇春华路东侧局部地块</t>
  </si>
  <si>
    <t>大于1并且小于1.05</t>
  </si>
  <si>
    <t>江苏茅宝葛业有限公司</t>
  </si>
  <si>
    <t>后白镇柴家村西侧局部地块C</t>
  </si>
  <si>
    <t>后白镇柴家村西侧局部地块E</t>
  </si>
  <si>
    <t>大于1并且小于1.6</t>
  </si>
  <si>
    <t>江苏省句容经济开发区房地产开发总公司以</t>
  </si>
  <si>
    <t>华阳北路西侧、文昌中路北侧局部地块</t>
  </si>
  <si>
    <t>大于1并且小于3</t>
  </si>
  <si>
    <t>2018-05-25</t>
  </si>
  <si>
    <t>句容市新城房产建设有限公司</t>
  </si>
  <si>
    <t>宝华镇经二路西侧局部地块</t>
  </si>
  <si>
    <t>大于1并且小于2.5</t>
  </si>
  <si>
    <t>江苏利都房地产开发有限公司</t>
  </si>
  <si>
    <t>义台街中山路西侧、东大街南侧局部地块</t>
  </si>
  <si>
    <t>大于1并且小于1.9</t>
  </si>
  <si>
    <t>江苏万宏置业集团有限公司</t>
  </si>
  <si>
    <t>赤岗路西侧、中兴路南侧局部地块A</t>
  </si>
  <si>
    <t>大于1并且小于1.8</t>
  </si>
  <si>
    <t>南京齐垠置业有限公司</t>
  </si>
  <si>
    <t>赤岗路西侧、中兴路南侧局部地块B</t>
  </si>
  <si>
    <t>句容亿丰房地产开发有限公司</t>
  </si>
  <si>
    <t>2018-03-21</t>
  </si>
  <si>
    <t>江苏金象旅游发展有限公司</t>
  </si>
  <si>
    <t>句兴路南侧、致远路东侧</t>
  </si>
  <si>
    <t>大于1并且小于2</t>
  </si>
  <si>
    <t>2018-03-16</t>
  </si>
  <si>
    <t>圣晖莱(句容)新能源科技有限公司</t>
  </si>
  <si>
    <t>春城路南侧、高骊山路西侧</t>
  </si>
  <si>
    <t>2018-03-09</t>
  </si>
  <si>
    <t>融侨集团、新城控股联合体</t>
  </si>
  <si>
    <t>义台街人民路南侧,中山路西侧</t>
  </si>
  <si>
    <t>大于1并且小于2.6</t>
  </si>
  <si>
    <t>2018-02-24</t>
  </si>
  <si>
    <t>茅山镇春潘路北侧</t>
  </si>
  <si>
    <t>大于1并且小于1.4</t>
  </si>
  <si>
    <t>句容市春城乡村旅游发展有限公司</t>
  </si>
  <si>
    <t>华阳东路南侧,北大街西侧</t>
  </si>
  <si>
    <t>镇江昌旺房地产开发有限公司</t>
  </si>
  <si>
    <t>宝华镇玉兰路西侧、纬十七路北侧</t>
  </si>
  <si>
    <t>江苏宝华碧桂园置业有限公司</t>
  </si>
  <si>
    <t>宝华镇经二路西侧、牡丹西路南侧</t>
  </si>
  <si>
    <t>句容宝碧房地产开发有限公司</t>
  </si>
  <si>
    <t>下蜀镇亭华路北侧、康乐路东侧</t>
  </si>
  <si>
    <t>句容市沿江经济开发有限公司</t>
  </si>
  <si>
    <t>宝华镇经二路西侧、牡丹西路北侧</t>
  </si>
  <si>
    <t>边城镇东昌路西侧</t>
  </si>
  <si>
    <t>句容边城投资开发有限公司</t>
  </si>
  <si>
    <t>宝华镇滨河路西侧、宝一路南侧</t>
  </si>
  <si>
    <t>句容市宝玉兰置业有限公司</t>
  </si>
  <si>
    <t>隆昌路南侧、肖杆路西侧</t>
  </si>
  <si>
    <t>大于1并且小于2.2</t>
  </si>
  <si>
    <t>句容市环城房地产开发有限公司</t>
  </si>
  <si>
    <t>义台街东大街南侧,中山路西侧</t>
  </si>
  <si>
    <t>华阳镇宁杭南路东侧、长龙山路南侧</t>
  </si>
  <si>
    <t>大于1并且小于2.7</t>
  </si>
  <si>
    <t>2017-11-01</t>
  </si>
  <si>
    <t>新城控股集团股份有限公司</t>
  </si>
  <si>
    <t>仑山路北侧、句源路东侧</t>
  </si>
  <si>
    <t>大于1并且小于2.3</t>
  </si>
  <si>
    <t>2017-09-20</t>
  </si>
  <si>
    <t>句容恒大童世界旅游开发有限公司</t>
  </si>
  <si>
    <t>大于1并且小于2.1</t>
  </si>
  <si>
    <t>容广路北侧、容城大道西侧</t>
  </si>
  <si>
    <t>容腾路南侧、句源路西侧</t>
  </si>
  <si>
    <t>容腾路南侧</t>
  </si>
  <si>
    <t>大于1并且小于2.4</t>
  </si>
  <si>
    <t>仑山路北侧、句韵路东侧</t>
  </si>
  <si>
    <t>大于1并且小于1.7</t>
  </si>
  <si>
    <t>容广路北侧、句韵路东侧</t>
  </si>
  <si>
    <t>大于1并且小于1.5</t>
  </si>
  <si>
    <t>容腾路南侧、句源路东侧</t>
  </si>
  <si>
    <t>句源路西侧、容广路南侧</t>
  </si>
  <si>
    <t>容腾路南侧、句韵路东侧</t>
  </si>
  <si>
    <t>容广路北侧、句源路西侧</t>
  </si>
  <si>
    <t>容广路南侧、仑山路北侧</t>
  </si>
  <si>
    <t>文昌东路南侧、243省道西侧</t>
  </si>
  <si>
    <t>2017-09-13</t>
  </si>
  <si>
    <t>雅居乐</t>
  </si>
  <si>
    <t>洪武路东侧、文昌中路南侧地块</t>
    <phoneticPr fontId="233" type="noConversion"/>
  </si>
  <si>
    <t>茅山管委会茅山大道东侧、万寿路南侧</t>
    <phoneticPr fontId="233" type="noConversion"/>
  </si>
  <si>
    <t>宝华镇滨河路西侧、宝一路南侧</t>
    <phoneticPr fontId="233" type="noConversion"/>
  </si>
  <si>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</si>
  <si>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</si>
  <si>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</si>
  <si>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</si>
  <si>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</si>
  <si>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</si>
  <si>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</si>
  <si>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</si>
  <si>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</si>
  <si>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不临街</t>
  </si>
  <si>
    <t>独栋</t>
    <phoneticPr fontId="21" type="noConversion"/>
  </si>
  <si>
    <t>句源路西侧、容广路北侧</t>
    <phoneticPr fontId="233" type="noConversion"/>
  </si>
  <si>
    <t>不动产收益法</t>
  </si>
  <si>
    <t>土地（套用方法）</t>
  </si>
  <si>
    <t>否</t>
  </si>
  <si>
    <t>底商</t>
  </si>
  <si>
    <t>估价方法</t>
  </si>
  <si>
    <t>住宅</t>
    <phoneticPr fontId="26" type="noConversion"/>
  </si>
  <si>
    <t>净地</t>
  </si>
  <si>
    <t>净地</t>
    <phoneticPr fontId="26" type="noConversion"/>
  </si>
  <si>
    <t>未开发</t>
    <phoneticPr fontId="26" type="noConversion"/>
  </si>
  <si>
    <t>联排</t>
    <phoneticPr fontId="21" type="noConversion"/>
  </si>
  <si>
    <t>叠拼</t>
    <phoneticPr fontId="21" type="noConversion"/>
  </si>
  <si>
    <t>洋房</t>
    <phoneticPr fontId="21" type="noConversion"/>
  </si>
  <si>
    <t>双拼</t>
  </si>
  <si>
    <t>双拼</t>
    <phoneticPr fontId="21" type="noConversion"/>
  </si>
  <si>
    <t>叠拼</t>
  </si>
  <si>
    <t>61地块住宅</t>
  </si>
  <si>
    <t>61地块住宅</t>
    <phoneticPr fontId="3" type="noConversion"/>
  </si>
  <si>
    <t>61地块商业</t>
  </si>
  <si>
    <t>61地块商业</t>
    <phoneticPr fontId="3" type="noConversion"/>
  </si>
  <si>
    <t xml:space="preserve"> n</t>
    <phoneticPr fontId="26" type="noConversion"/>
  </si>
  <si>
    <t>单位面积地价</t>
  </si>
  <si>
    <t>按租金收入计税</t>
  </si>
  <si>
    <t>宝华镇滨河路西侧、宝一路南侧</t>
    <phoneticPr fontId="3" type="noConversion"/>
  </si>
  <si>
    <t>支路</t>
  </si>
  <si>
    <t>规则</t>
  </si>
  <si>
    <t>较规则</t>
  </si>
  <si>
    <t>较不规则</t>
  </si>
  <si>
    <t>不规则</t>
  </si>
  <si>
    <t>茅山湾壹号院</t>
    <phoneticPr fontId="3" type="noConversion"/>
  </si>
  <si>
    <t>万福山庄</t>
    <phoneticPr fontId="3" type="noConversion"/>
  </si>
  <si>
    <t>高德庄园</t>
    <phoneticPr fontId="3" type="noConversion"/>
  </si>
  <si>
    <t>次干道</t>
  </si>
  <si>
    <t>次干道</t>
    <phoneticPr fontId="21" type="noConversion"/>
  </si>
  <si>
    <t>次干道</t>
    <phoneticPr fontId="21" type="noConversion"/>
  </si>
  <si>
    <t>211县道</t>
    <phoneticPr fontId="26" type="noConversion"/>
  </si>
  <si>
    <t>容广路</t>
    <phoneticPr fontId="26" type="noConversion"/>
  </si>
  <si>
    <t>茅山大道</t>
    <phoneticPr fontId="26" type="noConversion"/>
  </si>
  <si>
    <t>滨河路</t>
    <phoneticPr fontId="26" type="noConversion"/>
  </si>
  <si>
    <t>宝华镇宝四路东侧、牡丹西路南侧局部地块A</t>
  </si>
  <si>
    <t>＞1且＜2.5</t>
  </si>
  <si>
    <t>2017-04-19</t>
  </si>
  <si>
    <t>宝华镇经六路东侧、宝二路南侧局部地块</t>
  </si>
  <si>
    <t>＞1且＜2</t>
  </si>
  <si>
    <t>句容碧伯房地产开发有限公司</t>
  </si>
  <si>
    <t>宝华镇宝四路东侧、牡丹西路南侧局部地块B</t>
  </si>
  <si>
    <t>赤山湖管委会环山路南侧</t>
  </si>
  <si>
    <t>2017-02-15</t>
  </si>
  <si>
    <t>江苏协鑫房地产有限公司</t>
  </si>
  <si>
    <t>赤山湖管委会朝阳路南侧、赤金路西侧</t>
  </si>
  <si>
    <t>赤山湖管委会朝阳路北侧</t>
  </si>
  <si>
    <t>赤山湖管委会朝阳路南侧</t>
  </si>
  <si>
    <t>大于1并且小于1.2</t>
  </si>
  <si>
    <t>赤山湖管委会243省道北侧</t>
  </si>
  <si>
    <t>赤山湖管委会环山东路东侧</t>
  </si>
  <si>
    <t>赤山湖管委会赤金路东侧、朝阳路西侧</t>
  </si>
  <si>
    <t>华阳镇河滨南路北侧、高骊山路西侧</t>
  </si>
  <si>
    <t>郭庄镇凤仪路北侧</t>
  </si>
  <si>
    <t>大于1并且小于1.3</t>
  </si>
  <si>
    <t>江苏广升置业有限公司</t>
  </si>
  <si>
    <t>宝华镇仙林东路南侧、鸿堰南路东侧</t>
  </si>
  <si>
    <t>大于1并且小于3.4</t>
  </si>
  <si>
    <t>2016-11-02</t>
  </si>
  <si>
    <t>句容远融置业有限公司</t>
  </si>
  <si>
    <t>宝华镇射乌桥路南侧</t>
  </si>
  <si>
    <t>江苏成至经济发展有限公司</t>
  </si>
  <si>
    <t>宝华镇仙林东路南侧、黄墅路东侧</t>
  </si>
  <si>
    <t>大于1并且小于3.3</t>
  </si>
  <si>
    <t>句容恭华房地产开发有限公司、句容同康医院有限公司</t>
  </si>
  <si>
    <t>长龙山路南侧、二圣路北侧局部地块B</t>
  </si>
  <si>
    <t>2016-07-27</t>
  </si>
  <si>
    <t>句容弘业房地产开发有限公司</t>
  </si>
  <si>
    <t>隆昌路南侧、句卓路西侧局部地块A</t>
  </si>
  <si>
    <t>江苏尚元城镇建设有限公司</t>
  </si>
  <si>
    <t>洪武路东侧、二圣路北侧局部地块B</t>
  </si>
  <si>
    <t>句容尚元医疗产业投资有限公司</t>
  </si>
  <si>
    <t>洪武路东侧、二圣路北侧局部地块A</t>
  </si>
  <si>
    <t>赤山湖管委会朝阳路南侧、赤金路西侧</t>
    <phoneticPr fontId="233" type="noConversion"/>
  </si>
  <si>
    <t>赤山湖管委会朝阳路南侧、赤金路西侧</t>
    <phoneticPr fontId="3" type="noConversion"/>
  </si>
  <si>
    <t>普罗旺斯小镇</t>
    <phoneticPr fontId="26" type="noConversion"/>
  </si>
  <si>
    <r>
      <rPr>
        <sz val="11"/>
        <rFont val="宋体"/>
        <family val="3"/>
        <charset val="134"/>
      </rPr>
      <t>溧水</t>
    </r>
    <r>
      <rPr>
        <sz val="11"/>
        <rFont val="Arial"/>
        <family val="2"/>
      </rPr>
      <t>13</t>
    </r>
    <r>
      <rPr>
        <sz val="11"/>
        <rFont val="宋体"/>
        <family val="3"/>
        <charset val="134"/>
      </rPr>
      <t>路</t>
    </r>
    <phoneticPr fontId="26" type="noConversion"/>
  </si>
  <si>
    <t>茅山管委会茅山大道东侧、万寿路南侧</t>
    <phoneticPr fontId="3" type="noConversion"/>
  </si>
  <si>
    <t>中国邮政储蓄银行、郭庄医院、郭庄中学、句容大润发玛特超市</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</si>
</sst>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0" fillId="8" borderId="0" xfId="0" applyFill="1" applyAlignment="1"/>
    <xf numFmtId="0" fontId="152" fillId="8" borderId="0" xfId="0" applyFont="1" applyFill="1" applyAlignment="1"/>
    <xf numFmtId="0" fontId="0" fillId="6"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145" fillId="8" borderId="0" xfId="0" applyFont="1"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7" fillId="0" borderId="153" xfId="0" applyFont="1" applyBorder="1" applyAlignment="1">
      <alignment vertical="center" wrapText="1"/>
    </xf>
    <xf numFmtId="0" fontId="277" fillId="0" borderId="154" xfId="0" applyFont="1" applyBorder="1" applyAlignment="1">
      <alignmen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6" borderId="0" xfId="15" applyFill="1"/>
    <xf numFmtId="0" fontId="86" fillId="0" borderId="0" xfId="15"/>
    <xf numFmtId="0" fontId="0" fillId="6" borderId="0" xfId="0" applyFill="1">
      <alignment vertical="center"/>
    </xf>
    <xf numFmtId="0" fontId="127" fillId="6" borderId="0" xfId="15" applyFont="1" applyFill="1"/>
    <xf numFmtId="49" fontId="144" fillId="0" borderId="53"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333375</xdr:colOff>
      <xdr:row>29</xdr:row>
      <xdr:rowOff>542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1375" cy="4972592"/>
        </a:xfrm>
        <a:prstGeom prst="rect">
          <a:avLst/>
        </a:prstGeom>
      </xdr:spPr>
    </xdr:pic>
    <xdr:clientData/>
  </xdr:twoCellAnchor>
  <xdr:twoCellAnchor editAs="oneCell">
    <xdr:from>
      <xdr:col>0</xdr:col>
      <xdr:colOff>352425</xdr:colOff>
      <xdr:row>30</xdr:row>
      <xdr:rowOff>114300</xdr:rowOff>
    </xdr:from>
    <xdr:to>
      <xdr:col>11</xdr:col>
      <xdr:colOff>242888</xdr:colOff>
      <xdr:row>58</xdr:row>
      <xdr:rowOff>142066</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5257800"/>
          <a:ext cx="7434263" cy="4828366"/>
        </a:xfrm>
        <a:prstGeom prst="rect">
          <a:avLst/>
        </a:prstGeom>
      </xdr:spPr>
    </xdr:pic>
    <xdr:clientData/>
  </xdr:twoCellAnchor>
  <xdr:twoCellAnchor editAs="oneCell">
    <xdr:from>
      <xdr:col>8</xdr:col>
      <xdr:colOff>542925</xdr:colOff>
      <xdr:row>31</xdr:row>
      <xdr:rowOff>0</xdr:rowOff>
    </xdr:from>
    <xdr:to>
      <xdr:col>18</xdr:col>
      <xdr:colOff>284925</xdr:colOff>
      <xdr:row>57</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6029325" y="5314950"/>
          <a:ext cx="6600000" cy="4485715"/>
        </a:xfrm>
        <a:prstGeom prst="rect">
          <a:avLst/>
        </a:prstGeom>
      </xdr:spPr>
    </xdr:pic>
    <xdr:clientData/>
  </xdr:twoCellAnchor>
  <xdr:twoCellAnchor editAs="oneCell">
    <xdr:from>
      <xdr:col>6</xdr:col>
      <xdr:colOff>542925</xdr:colOff>
      <xdr:row>0</xdr:row>
      <xdr:rowOff>0</xdr:rowOff>
    </xdr:from>
    <xdr:to>
      <xdr:col>17</xdr:col>
      <xdr:colOff>294247</xdr:colOff>
      <xdr:row>16</xdr:row>
      <xdr:rowOff>9357</xdr:rowOff>
    </xdr:to>
    <xdr:pic>
      <xdr:nvPicPr>
        <xdr:cNvPr id="5" name="图片 4"/>
        <xdr:cNvPicPr>
          <a:picLocks noChangeAspect="1"/>
        </xdr:cNvPicPr>
      </xdr:nvPicPr>
      <xdr:blipFill>
        <a:blip xmlns:r="http://schemas.openxmlformats.org/officeDocument/2006/relationships" r:embed="rId4"/>
        <a:stretch>
          <a:fillRect/>
        </a:stretch>
      </xdr:blipFill>
      <xdr:spPr>
        <a:xfrm>
          <a:off x="4657725" y="0"/>
          <a:ext cx="7295122" cy="2752557"/>
        </a:xfrm>
        <a:prstGeom prst="rect">
          <a:avLst/>
        </a:prstGeom>
      </xdr:spPr>
    </xdr:pic>
    <xdr:clientData/>
  </xdr:twoCellAnchor>
  <xdr:twoCellAnchor editAs="oneCell">
    <xdr:from>
      <xdr:col>1</xdr:col>
      <xdr:colOff>0</xdr:colOff>
      <xdr:row>61</xdr:row>
      <xdr:rowOff>0</xdr:rowOff>
    </xdr:from>
    <xdr:to>
      <xdr:col>13</xdr:col>
      <xdr:colOff>27543</xdr:colOff>
      <xdr:row>88</xdr:row>
      <xdr:rowOff>47041</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0458450"/>
          <a:ext cx="8257143" cy="4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2&#22320;&#22359;&#8212;&#30005;&#31639;&#34920;-&#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3541;&#23665;66&#22320;&#22359;1111&#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3541;&#23665;62&#22320;&#22359;0000&#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3&#22320;&#22359;&#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3541;&#23665;63&#22320;&#22359;0000&#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4&#22320;&#22359;&#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3541;&#23665;64&#22320;&#22359;0000&#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5&#22320;&#22359;&#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3541;&#23665;65&#22320;&#22359;0000&#8212;&#30005;&#31639;&#34920;-&#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6&#22320;&#2235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14507</v>
          </cell>
          <cell r="C14">
            <v>18134</v>
          </cell>
        </row>
      </sheetData>
      <sheetData sheetId="16">
        <row r="32">
          <cell r="C32">
            <v>2793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2455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2649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11508</v>
          </cell>
          <cell r="C14">
            <v>14385</v>
          </cell>
        </row>
      </sheetData>
      <sheetData sheetId="16">
        <row r="32">
          <cell r="C32">
            <v>2191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2164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17894</v>
          </cell>
          <cell r="C14">
            <v>16267</v>
          </cell>
        </row>
      </sheetData>
      <sheetData sheetId="16">
        <row r="32">
          <cell r="C32">
            <v>3514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3529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25013</v>
          </cell>
          <cell r="C14">
            <v>22739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4809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12533</v>
          </cell>
          <cell r="C14">
            <v>11394</v>
          </cell>
        </row>
      </sheetData>
      <sheetData sheetId="16">
        <row r="32">
          <cell r="C32">
            <v>2443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6614平方米。根据《建设工程规划许可证》[]、《出让合同》[]，估价对象规划建筑面积为7937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2018年8月22日（评估专业人员勘察现场之日）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根据《国有土地使用证》[]，估价对象（分摊）出让国有建设用地使用权面积为6614平方米。根据《建设工程规划许可证》[]、《出让合同》[]，估价对象规划建筑面积为7937平方米。</v>
      </c>
    </row>
    <row r="16" spans="1:55" s="2876" customFormat="1">
      <c r="A16" s="2877" t="s">
        <v>2671</v>
      </c>
      <c r="B16" s="2878" t="str">
        <f>'预评函-1'!A22</f>
        <v>本次估价对象为出让国有建设用地使用权，《国有土地使用证》[]证载土地终止日期为住宅2078年12月3日、旅游2048年12月3日。截至估价期日，出让国有建设用地使用权剩余土地使用年限为。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估价期日：2018年8月22日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6614</v>
      </c>
    </row>
    <row r="44" spans="1:2">
      <c r="A44" s="2877" t="s">
        <v>2742</v>
      </c>
      <c r="B44" s="2878" t="str">
        <f>'预评函-2'!O3</f>
        <v>规划建筑面积/㎡</v>
      </c>
    </row>
    <row r="45" spans="1:2">
      <c r="A45" s="2877" t="s">
        <v>2724</v>
      </c>
      <c r="B45" s="2878">
        <f>'预评函-2'!O5</f>
        <v>7937</v>
      </c>
    </row>
    <row r="46" spans="1:2">
      <c r="A46" s="2877" t="s">
        <v>2725</v>
      </c>
      <c r="B46" s="2878">
        <f ca="1">'预评函-2'!P5</f>
        <v>2815</v>
      </c>
    </row>
    <row r="47" spans="1:2">
      <c r="A47" s="2877" t="s">
        <v>2726</v>
      </c>
      <c r="B47" s="2878">
        <f ca="1">'预评函-2'!Q5</f>
        <v>2346</v>
      </c>
    </row>
    <row r="48" spans="1:2">
      <c r="A48" s="2877" t="s">
        <v>2727</v>
      </c>
      <c r="B48" s="2878">
        <f ca="1">'预评函-2'!R5</f>
        <v>1862</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N28" sqref="N28"/>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44" t="str">
        <f>IF(B10="北京市","北京市",C10)&amp;F10&amp;B16&amp;"国有建设用地使用权"&amp;B9&amp;"预评估"</f>
        <v>出让国有建设用地使用权抵押价格预评估</v>
      </c>
      <c r="C1" s="3245"/>
      <c r="D1" s="3245"/>
      <c r="E1" s="3245"/>
      <c r="F1" s="3245"/>
      <c r="G1" s="3245"/>
      <c r="H1" s="3245"/>
      <c r="I1" s="3246"/>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43334</v>
      </c>
      <c r="C3" s="1661" t="s">
        <v>1997</v>
      </c>
      <c r="D3" s="1660">
        <f>B3</f>
        <v>43334</v>
      </c>
      <c r="E3" s="1692"/>
      <c r="F3" s="1692"/>
      <c r="G3" s="1692"/>
      <c r="H3" s="1658"/>
      <c r="I3" s="1693"/>
      <c r="J3" s="1692"/>
      <c r="K3" s="1772"/>
      <c r="L3" s="1721"/>
      <c r="M3" s="1721"/>
      <c r="N3" s="1692"/>
      <c r="O3" s="1693"/>
      <c r="P3" s="1692"/>
      <c r="Q3" s="1692"/>
      <c r="R3" s="1692"/>
      <c r="S3" s="1692"/>
      <c r="T3" s="1692"/>
      <c r="U3" s="1692"/>
    </row>
    <row r="4" spans="1:21" ht="29.25"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50"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51"/>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47"/>
      <c r="C12" s="3248"/>
      <c r="D12" s="3249"/>
      <c r="E12" s="1697" t="s">
        <v>2063</v>
      </c>
      <c r="F12" s="3265" t="s">
        <v>2892</v>
      </c>
      <c r="G12" s="3266"/>
      <c r="H12" s="3266"/>
      <c r="I12" s="3267"/>
      <c r="J12" s="1692"/>
      <c r="K12" s="1772"/>
      <c r="L12" s="1721"/>
      <c r="M12" s="1721"/>
      <c r="N12" s="1692"/>
      <c r="O12" s="1693"/>
      <c r="P12" s="1692"/>
      <c r="Q12" s="1692"/>
      <c r="R12" s="1692"/>
      <c r="S12" s="1692"/>
      <c r="T12" s="1692"/>
      <c r="U12" s="1692"/>
    </row>
    <row r="13" spans="1:21">
      <c r="A13" s="1685" t="s">
        <v>2061</v>
      </c>
      <c r="B13" s="3247"/>
      <c r="C13" s="3248"/>
      <c r="D13" s="3249"/>
      <c r="E13" s="1697" t="s">
        <v>2063</v>
      </c>
      <c r="F13" s="3265" t="s">
        <v>2893</v>
      </c>
      <c r="G13" s="3266"/>
      <c r="H13" s="3266"/>
      <c r="I13" s="3267"/>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45" t="s">
        <v>1951</v>
      </c>
      <c r="E16" s="1720" t="s">
        <v>2995</v>
      </c>
      <c r="F16" s="1720"/>
      <c r="G16" s="1720"/>
      <c r="H16" s="1720"/>
      <c r="I16" s="1684" t="s">
        <v>1956</v>
      </c>
      <c r="J16" s="1692"/>
      <c r="K16" s="2455" t="str">
        <f>IF(D17="","",D16&amp;TEXT(D17,"yyyy年m月d日;;"))</f>
        <v>住宅2078年12月3日</v>
      </c>
      <c r="L16" s="1697" t="str">
        <f>IF(OR(K16="",M16=""),"","、")</f>
        <v>、</v>
      </c>
      <c r="M16" s="2455" t="str">
        <f>IF(E17="","",E16&amp;TEXT(E17,"yyyy年m月d日;;"))</f>
        <v>旅游2048年12月3日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65352</v>
      </c>
      <c r="E17" s="1698">
        <v>54395</v>
      </c>
      <c r="F17" s="1698"/>
      <c r="G17" s="1698"/>
      <c r="H17" s="1698"/>
      <c r="I17" s="1698"/>
      <c r="J17" s="1692"/>
      <c r="K17" s="2454" t="str">
        <f>CONCATENATE(K16,L16,M16,N16,O16,P16,Q16,R16,S16,T16,,U16)</f>
        <v>住宅2078年12月3日、旅游2048年12月3日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60.32</v>
      </c>
      <c r="E19" s="1683">
        <f>IF(B16="出让",IF(E17="","",ROUNDDOWN(MIN((E17-$D$3)/365,E18),2)),E18)</f>
        <v>30.3</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62"/>
      <c r="E20" s="3263"/>
      <c r="F20" s="3263"/>
      <c r="G20" s="3263"/>
      <c r="H20" s="3263"/>
      <c r="I20" s="3264"/>
      <c r="J20" s="1692"/>
      <c r="K20" s="1772"/>
      <c r="L20" s="1721"/>
      <c r="M20" s="1721"/>
      <c r="N20" s="1692"/>
      <c r="O20" s="1693"/>
      <c r="P20" s="1692"/>
      <c r="Q20" s="1692"/>
      <c r="R20" s="1692"/>
      <c r="S20" s="1692"/>
      <c r="T20" s="1692"/>
      <c r="U20" s="1692"/>
    </row>
    <row r="21" spans="1:21">
      <c r="A21" s="1761" t="s">
        <v>1960</v>
      </c>
      <c r="B21" s="1762" t="s">
        <v>1961</v>
      </c>
      <c r="C21" s="1757">
        <f>'数据-汇总表'!E3</f>
        <v>7937</v>
      </c>
      <c r="D21" s="1758" t="s">
        <v>1962</v>
      </c>
      <c r="E21" s="3252" t="s">
        <v>2000</v>
      </c>
      <c r="F21" s="3253"/>
      <c r="G21" s="3253"/>
      <c r="H21" s="3253"/>
      <c r="I21" s="3254"/>
      <c r="J21" s="1692"/>
      <c r="K21" s="1772"/>
      <c r="L21" s="1721"/>
      <c r="M21" s="1721"/>
      <c r="N21" s="1692"/>
      <c r="O21" s="1693"/>
      <c r="P21" s="1692"/>
      <c r="Q21" s="1692"/>
      <c r="R21" s="1692"/>
      <c r="S21" s="1692"/>
      <c r="T21" s="1692"/>
      <c r="U21" s="1692"/>
    </row>
    <row r="22" spans="1:21">
      <c r="A22" s="3148" t="s">
        <v>951</v>
      </c>
      <c r="B22" s="1659" t="s">
        <v>1963</v>
      </c>
      <c r="C22" s="1684">
        <f>'数据-汇总表'!D3</f>
        <v>6614</v>
      </c>
      <c r="D22" s="1685" t="s">
        <v>1962</v>
      </c>
      <c r="E22" s="3252" t="s">
        <v>2894</v>
      </c>
      <c r="F22" s="3253"/>
      <c r="G22" s="3253"/>
      <c r="H22" s="3253"/>
      <c r="I22" s="3254"/>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55" t="s">
        <v>1968</v>
      </c>
      <c r="C24" s="3256"/>
      <c r="D24" s="3257" t="s">
        <v>1969</v>
      </c>
      <c r="E24" s="3258"/>
      <c r="F24" s="1706" t="s">
        <v>1970</v>
      </c>
      <c r="G24" s="1692"/>
      <c r="H24" s="1692"/>
      <c r="I24" s="1705"/>
      <c r="J24" s="1692"/>
      <c r="K24" s="3243"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4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4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29" t="s">
        <v>2003</v>
      </c>
      <c r="B31" s="1762" t="s">
        <v>2004</v>
      </c>
      <c r="C31" s="3268" t="s">
        <v>2996</v>
      </c>
      <c r="D31" s="3269"/>
      <c r="E31" s="1692"/>
      <c r="F31" s="1692"/>
      <c r="G31" s="1692"/>
      <c r="H31" s="1692"/>
      <c r="I31" s="1705"/>
      <c r="J31" s="1692"/>
      <c r="K31" s="2457"/>
      <c r="L31" s="1692"/>
      <c r="M31" s="1692"/>
      <c r="N31" s="1692"/>
      <c r="O31" s="1692"/>
      <c r="P31" s="1692"/>
      <c r="Q31" s="1692"/>
      <c r="R31" s="1692"/>
      <c r="S31" s="1692"/>
      <c r="T31" s="1692"/>
      <c r="U31" s="1692"/>
    </row>
    <row r="32" spans="1:21">
      <c r="A32" s="3229"/>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29"/>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30"/>
      <c r="B34" s="1659" t="s">
        <v>2007</v>
      </c>
      <c r="C34" s="3231"/>
      <c r="D34" s="3232"/>
      <c r="E34" s="1692"/>
      <c r="F34" s="1692"/>
      <c r="G34" s="1692"/>
      <c r="H34" s="1692"/>
      <c r="I34" s="1705"/>
      <c r="J34" s="1692"/>
      <c r="K34" s="2457"/>
      <c r="L34" s="1692"/>
      <c r="M34" s="1692"/>
      <c r="N34" s="1692"/>
      <c r="O34" s="1692"/>
      <c r="P34" s="1692"/>
      <c r="Q34" s="1692"/>
      <c r="R34" s="1692"/>
      <c r="S34" s="1692"/>
      <c r="T34" s="1692"/>
      <c r="U34" s="1692"/>
    </row>
    <row r="35" spans="1:21">
      <c r="A35" s="3233" t="s">
        <v>846</v>
      </c>
      <c r="B35" s="1720"/>
      <c r="C35" s="1774" t="str">
        <f>IF(B35="场地平整","——","具体情况：")</f>
        <v>具体情况：</v>
      </c>
      <c r="D35" s="3235"/>
      <c r="E35" s="3236"/>
      <c r="F35" s="3236"/>
      <c r="G35" s="3236"/>
      <c r="H35" s="3236"/>
      <c r="I35" s="3237"/>
      <c r="J35" s="1692"/>
      <c r="K35" s="1773"/>
      <c r="L35" s="1721"/>
      <c r="M35" s="1721"/>
      <c r="N35" s="1692"/>
      <c r="O35" s="1693"/>
      <c r="P35" s="1692"/>
      <c r="Q35" s="1692"/>
      <c r="R35" s="1692"/>
      <c r="S35" s="1692"/>
      <c r="T35" s="1692"/>
      <c r="U35" s="1692"/>
    </row>
    <row r="36" spans="1:21">
      <c r="A36" s="3229"/>
      <c r="B36" s="3238" t="s">
        <v>2056</v>
      </c>
      <c r="C36" s="3239"/>
      <c r="D36" s="1790"/>
      <c r="E36" s="3240"/>
      <c r="F36" s="3240"/>
      <c r="G36" s="1685" t="str">
        <f>IF(B35="场地未平整","估价结果处理","")</f>
        <v/>
      </c>
      <c r="H36" s="3241"/>
      <c r="I36" s="3241"/>
      <c r="J36" s="1692"/>
      <c r="K36" s="1773"/>
      <c r="L36" s="1721"/>
      <c r="M36" s="1721"/>
      <c r="N36" s="1692"/>
      <c r="O36" s="1693"/>
      <c r="P36" s="1692"/>
      <c r="Q36" s="1692"/>
      <c r="R36" s="1692"/>
      <c r="S36" s="1692"/>
      <c r="T36" s="1692"/>
      <c r="U36" s="1692"/>
    </row>
    <row r="37" spans="1:21" ht="28.5">
      <c r="A37" s="3229"/>
      <c r="B37" s="3259"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29"/>
      <c r="B38" s="3260"/>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30"/>
      <c r="B39" s="326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42" t="s">
        <v>1987</v>
      </c>
      <c r="T40" s="1729" t="str">
        <f>NUMBERSTRING(7-K40,1)&amp;"通"</f>
        <v>七通</v>
      </c>
      <c r="U40" s="1692"/>
    </row>
    <row r="41" spans="1:21">
      <c r="A41" s="1661"/>
      <c r="B41" s="3234" t="s">
        <v>1721</v>
      </c>
      <c r="C41" s="3234"/>
      <c r="D41" s="3234"/>
      <c r="E41" s="3234"/>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2"/>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G13" activePane="bottomRight" state="frozen"/>
      <selection pane="topRight" activeCell="E1" sqref="E1"/>
      <selection pane="bottomLeft" activeCell="A12" sqref="A12"/>
      <selection pane="bottomRight" activeCell="I13" sqref="I13: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6614</v>
      </c>
      <c r="B3" s="22">
        <f>IF(C3="否",G5-AT5,G5)</f>
        <v>7937</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7937</v>
      </c>
      <c r="H5" s="27">
        <f t="shared" ref="H5:AT5" si="0">SUM(H13:H641)</f>
        <v>7937</v>
      </c>
      <c r="I5" s="27">
        <f t="shared" si="0"/>
        <v>7143</v>
      </c>
      <c r="J5" s="27">
        <f t="shared" si="0"/>
        <v>0</v>
      </c>
      <c r="K5" s="27">
        <f t="shared" si="0"/>
        <v>794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7937</v>
      </c>
      <c r="BA5" s="29">
        <f t="shared" si="1"/>
        <v>7937</v>
      </c>
      <c r="BB5" s="29">
        <f t="shared" si="1"/>
        <v>7143</v>
      </c>
      <c r="BC5" s="29">
        <f t="shared" si="1"/>
        <v>794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6614</v>
      </c>
      <c r="F6" s="27" t="s">
        <v>1</v>
      </c>
      <c r="G6" s="27" t="s">
        <v>2</v>
      </c>
      <c r="H6" s="33">
        <f>SUMIF(I$12:AB$12,"总值",I6:AB6)</f>
        <v>6614</v>
      </c>
      <c r="I6" s="27">
        <f t="shared" ref="I6:AB6" si="2">ROUND($A$3*I5/$B$3,2)</f>
        <v>5952.35</v>
      </c>
      <c r="J6" s="27">
        <f t="shared" si="2"/>
        <v>0</v>
      </c>
      <c r="K6" s="27">
        <f t="shared" si="2"/>
        <v>661.65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6614</v>
      </c>
      <c r="AZ6" s="27" t="s">
        <v>3</v>
      </c>
      <c r="BA6" s="27">
        <f>ROUND($AY$6*BA5/$AZ$5,2)</f>
        <v>6614</v>
      </c>
      <c r="BB6" s="27">
        <f>ROUND($AY$6*BB5/$AZ$5,2)</f>
        <v>5952.35</v>
      </c>
      <c r="BC6" s="27">
        <f t="shared" ref="BC6:BH6" si="4">ROUND($AY$6*BC5/$AZ$5,2)</f>
        <v>661.65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2997</v>
      </c>
      <c r="J9" s="51"/>
      <c r="K9" s="3018" t="s">
        <v>2997</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2994</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2998</v>
      </c>
      <c r="J11" s="71"/>
      <c r="K11" s="3019" t="s">
        <v>3152</v>
      </c>
      <c r="L11" s="71"/>
      <c r="M11" s="70"/>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3165</v>
      </c>
      <c r="D13" s="3014" t="s">
        <v>1678</v>
      </c>
      <c r="E13" s="27">
        <f t="shared" ref="E13:E20" si="6">IF($C$3="是",ROUND($A$3*G13/$B$3,2),ROUND($A$3*(G13-AT13)/$B$3,2))</f>
        <v>5952.35</v>
      </c>
      <c r="F13" s="81"/>
      <c r="G13" s="82">
        <f t="shared" ref="G13:G20" si="7">H13+AC13+AT13</f>
        <v>7143</v>
      </c>
      <c r="H13" s="33">
        <f t="shared" ref="H13:H20" si="8">SUMIF(I$12:AB$12,"总值",I13:AB13)</f>
        <v>7143</v>
      </c>
      <c r="I13" s="3017">
        <v>7143</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61地块住宅</v>
      </c>
      <c r="AY13" s="995">
        <f t="shared" ref="AY13:AY20" si="11">ROUND($AY$6*AZ13/$AZ$5,2)</f>
        <v>5952.35</v>
      </c>
      <c r="AZ13" s="27">
        <f t="shared" ref="AZ13:AZ20" si="12">BA13+BL13</f>
        <v>7143</v>
      </c>
      <c r="BA13" s="27">
        <f t="shared" ref="BA13:BA20" si="13">SUM(BB13:BK13)</f>
        <v>7143</v>
      </c>
      <c r="BB13" s="27">
        <f t="shared" ref="BB13:BB20" si="14">IF($D13="是",I13-J13,0)</f>
        <v>7143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3167</v>
      </c>
      <c r="D14" s="3014" t="s">
        <v>1678</v>
      </c>
      <c r="E14" s="27">
        <f t="shared" si="6"/>
        <v>661.65</v>
      </c>
      <c r="F14" s="81"/>
      <c r="G14" s="82">
        <f t="shared" si="7"/>
        <v>794</v>
      </c>
      <c r="H14" s="33">
        <f t="shared" si="8"/>
        <v>794</v>
      </c>
      <c r="I14" s="3017"/>
      <c r="J14" s="3017"/>
      <c r="K14" s="3017">
        <v>794</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61地块商业</v>
      </c>
      <c r="AY14" s="995">
        <f t="shared" si="11"/>
        <v>661.65</v>
      </c>
      <c r="AZ14" s="27">
        <f t="shared" si="12"/>
        <v>794</v>
      </c>
      <c r="BA14" s="27">
        <f t="shared" si="13"/>
        <v>794</v>
      </c>
      <c r="BB14" s="27">
        <f t="shared" si="14"/>
        <v>0</v>
      </c>
      <c r="BC14" s="27">
        <f t="shared" si="15"/>
        <v>794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1" t="s">
        <v>203</v>
      </c>
      <c r="B2" s="3281"/>
      <c r="C2" s="3281"/>
      <c r="D2" s="1974" t="s">
        <v>204</v>
      </c>
      <c r="E2" s="106" t="s">
        <v>205</v>
      </c>
      <c r="F2" s="1983"/>
      <c r="G2" s="1197"/>
      <c r="H2" s="1198"/>
      <c r="I2" s="1199" t="s">
        <v>856</v>
      </c>
      <c r="J2" s="1983"/>
      <c r="K2" s="1983"/>
      <c r="L2" s="1983"/>
    </row>
    <row r="3" spans="1:16" ht="15.75" thickBot="1">
      <c r="A3" s="3282" t="s">
        <v>206</v>
      </c>
      <c r="B3" s="3282"/>
      <c r="C3" s="3282"/>
      <c r="D3" s="107">
        <f>'数据-基础表'!AY6</f>
        <v>6614</v>
      </c>
      <c r="E3" s="107">
        <f>'数据-基础表'!AZ5</f>
        <v>7937</v>
      </c>
      <c r="F3" s="1983"/>
      <c r="G3" s="280" t="s">
        <v>857</v>
      </c>
      <c r="H3" s="275" t="s">
        <v>858</v>
      </c>
      <c r="I3" s="1975">
        <f>ROUND('数据-基础表'!B3/'数据-基础表'!A3,2)</f>
        <v>1.2</v>
      </c>
      <c r="J3" s="1983"/>
      <c r="K3" s="1983"/>
      <c r="L3" s="1983"/>
    </row>
    <row r="4" spans="1:16" ht="15">
      <c r="A4" s="3283"/>
      <c r="B4" s="3284"/>
      <c r="C4" s="3285"/>
      <c r="D4" s="108" t="s">
        <v>204</v>
      </c>
      <c r="E4" s="109" t="s">
        <v>205</v>
      </c>
      <c r="F4" s="1983"/>
      <c r="G4" s="1200"/>
      <c r="H4" s="275" t="s">
        <v>859</v>
      </c>
      <c r="I4" s="1975">
        <f>ROUND(SUMIF('数据-基础表'!I9:AS9,"地上",'数据-基础表'!I5:AS5)/'数据-基础表'!A3,2)</f>
        <v>1.2</v>
      </c>
      <c r="J4" s="1983"/>
      <c r="K4" s="1983"/>
      <c r="L4" s="1983"/>
    </row>
    <row r="5" spans="1:16">
      <c r="A5" s="110" t="s">
        <v>207</v>
      </c>
      <c r="B5" s="3286" t="s">
        <v>230</v>
      </c>
      <c r="C5" s="3286"/>
      <c r="D5" s="111">
        <f>ROUND($D$3*E5/$E$3,2)</f>
        <v>5952.35</v>
      </c>
      <c r="E5" s="112">
        <f>SUMIF('数据-基础表'!$11:$11,"住宅",'数据-基础表'!$5:$5)</f>
        <v>7143</v>
      </c>
      <c r="F5" s="1983"/>
      <c r="G5" s="280" t="s">
        <v>860</v>
      </c>
      <c r="H5" s="275" t="s">
        <v>858</v>
      </c>
      <c r="I5" s="1975">
        <f>ROUND(E31/D31,2)</f>
        <v>1.2</v>
      </c>
      <c r="J5" s="1983"/>
      <c r="K5" s="1983"/>
      <c r="L5" s="1983"/>
    </row>
    <row r="6" spans="1:16" ht="15" thickBot="1">
      <c r="A6" s="113"/>
      <c r="B6" s="3286" t="s">
        <v>208</v>
      </c>
      <c r="C6" s="3286"/>
      <c r="D6" s="111">
        <f>ROUND($D$3*E6/$E$3,2)</f>
        <v>661.65</v>
      </c>
      <c r="E6" s="112">
        <f>E3-E5</f>
        <v>794</v>
      </c>
      <c r="F6" s="1983"/>
      <c r="G6" s="1200"/>
      <c r="H6" s="275" t="s">
        <v>859</v>
      </c>
      <c r="I6" s="1975">
        <f>ROUND(F31/D31,2)</f>
        <v>1.2</v>
      </c>
      <c r="J6" s="1983"/>
      <c r="K6" s="1983"/>
      <c r="L6" s="1983"/>
    </row>
    <row r="7" spans="1:16" ht="15">
      <c r="A7" s="3278"/>
      <c r="B7" s="3279"/>
      <c r="C7" s="3280"/>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6614</v>
      </c>
      <c r="E8" s="116">
        <f>SUMIF('数据-基础表'!BB10:BK10,"地上",'数据-基础表'!BB5:BK5)</f>
        <v>7937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6614</v>
      </c>
      <c r="E16" s="120">
        <f>SUM(E8:E15)</f>
        <v>7937</v>
      </c>
      <c r="F16" s="1983"/>
      <c r="G16" s="1985"/>
      <c r="H16" s="968" t="s">
        <v>219</v>
      </c>
      <c r="I16" s="969"/>
      <c r="J16" s="1983"/>
      <c r="K16" s="3272" t="s">
        <v>2568</v>
      </c>
      <c r="L16" s="3273"/>
      <c r="M16" s="3273"/>
      <c r="N16" s="3273"/>
      <c r="O16" s="3273"/>
      <c r="P16" s="3274"/>
    </row>
    <row r="17" spans="1:19" ht="15">
      <c r="A17" s="121" t="s">
        <v>216</v>
      </c>
      <c r="B17" s="122" t="s">
        <v>217</v>
      </c>
      <c r="C17" s="2297" t="s">
        <v>2315</v>
      </c>
      <c r="D17" s="108" t="s">
        <v>204</v>
      </c>
      <c r="E17" s="124" t="s">
        <v>205</v>
      </c>
      <c r="F17" s="125"/>
      <c r="G17" s="1365"/>
      <c r="H17" s="970" t="s">
        <v>218</v>
      </c>
      <c r="I17" s="971" t="s">
        <v>2314</v>
      </c>
      <c r="J17" s="1983"/>
      <c r="K17" s="3275" t="s">
        <v>2569</v>
      </c>
      <c r="L17" s="3276"/>
      <c r="M17" s="3277"/>
      <c r="N17" s="3275" t="s">
        <v>2570</v>
      </c>
      <c r="O17" s="3276"/>
      <c r="P17" s="3277"/>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4" t="str">
        <f>'数据-基础表'!C13</f>
        <v>61地块住宅</v>
      </c>
      <c r="D19" s="111">
        <f t="shared" ref="D19:D26" si="1">ROUND($D$3*E19/$E$3,2)</f>
        <v>5952.35</v>
      </c>
      <c r="E19" s="134">
        <f t="shared" ref="E19:E26" si="2">SUM(F19:G19)</f>
        <v>7143</v>
      </c>
      <c r="F19" s="135">
        <f>'数据-基础表'!I13</f>
        <v>7143</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5952.35</v>
      </c>
      <c r="S19" s="2300">
        <f t="shared" si="5"/>
        <v>7143</v>
      </c>
    </row>
    <row r="20" spans="1:19">
      <c r="A20" s="138"/>
      <c r="B20" s="115" t="s">
        <v>226</v>
      </c>
      <c r="C20" s="3024" t="str">
        <f>'数据-基础表'!C14</f>
        <v>61地块商业</v>
      </c>
      <c r="D20" s="111">
        <f t="shared" si="1"/>
        <v>661.65</v>
      </c>
      <c r="E20" s="134">
        <f t="shared" si="2"/>
        <v>794</v>
      </c>
      <c r="F20" s="135">
        <f>'数据-基础表'!K14</f>
        <v>794</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661.65</v>
      </c>
      <c r="S20" s="2300">
        <f t="shared" si="5"/>
        <v>794</v>
      </c>
    </row>
    <row r="21" spans="1:19">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6614</v>
      </c>
      <c r="E27" s="143">
        <f>IF(SUM(E19:E26)='数据-基础表'!BA5,SUM(E19:E26),IF(F27="地上面积有误","面积有误","地下面积有误"))</f>
        <v>7937</v>
      </c>
      <c r="F27" s="134">
        <f>IF(SUM(F19:F26)=E8,SUM(F19:F26),"地上面积有误")</f>
        <v>7937</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6614</v>
      </c>
      <c r="S27" s="275">
        <f>IF(SUM(S19:S26)=$E$3,SUM(S19:S26),SUM(S19:S26)&amp;"误差"&amp;ROUND(SUM(S19:S26)-E3,2))</f>
        <v>7937</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6614</v>
      </c>
      <c r="E31" s="1371">
        <f>E27+E30</f>
        <v>7937</v>
      </c>
      <c r="F31" s="1372">
        <f>F27+F30</f>
        <v>7937</v>
      </c>
      <c r="G31" s="1373">
        <f>G27+G30</f>
        <v>0</v>
      </c>
      <c r="H31" s="1983"/>
      <c r="I31" s="1983"/>
      <c r="J31" s="1983"/>
      <c r="K31" s="1983"/>
      <c r="L31" s="1983"/>
    </row>
    <row r="32" spans="1:19">
      <c r="A32" s="1983"/>
      <c r="B32" s="2362" t="s">
        <v>2323</v>
      </c>
      <c r="C32" s="2646"/>
      <c r="D32" s="1200"/>
      <c r="E32" s="1200">
        <f>SUMIF(C19:C26,"*住宅*",E19:E26)</f>
        <v>7143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W6" activePane="bottomRight" state="frozen"/>
      <selection pane="topRight" activeCell="D1" sqref="D1"/>
      <selection pane="bottomLeft" activeCell="A4" sqref="A4"/>
      <selection pane="bottomRight" activeCell="AB18" sqref="AB18:AB1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43334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61地块住宅</v>
      </c>
      <c r="B6" s="2336" t="str">
        <f>IF(A6=0,"","经营性")</f>
        <v>经营性</v>
      </c>
      <c r="C6" s="173" t="s">
        <v>922</v>
      </c>
      <c r="D6" s="2307">
        <f>SUMIF(项目基本情况!D$15:I$15,C6,项目基本情况!D$18:I$18)</f>
        <v>70</v>
      </c>
      <c r="E6" s="2308">
        <f>IF(B6="","",SUMIF(项目基本情况!D$15:I$15,C6,项目基本情况!D$17:I$17))</f>
        <v>65352</v>
      </c>
      <c r="F6" s="174">
        <f>SUMIF(项目基本情况!D$15:I$15,C6,项目基本情况!D$19:I$19)</f>
        <v>60.32</v>
      </c>
      <c r="G6" s="175">
        <f>IF(ISERROR(ROUND(POWER(1+H6,D6-F6)*(POWER(1+H6,F6)-1)/(POWER(1+H6,D6)-1),3)),0,ROUND(POWER(1+H6,D6-F6)*(POWER(1+H6,F6)-1)/(POWER(1+H6,D6)-1),3))</f>
        <v>0.97399999999999998</v>
      </c>
      <c r="H6" s="3025">
        <v>4.4999999999999998E-2</v>
      </c>
      <c r="I6" s="3025">
        <v>0.05</v>
      </c>
      <c r="J6" s="176">
        <v>8.5000000000000006E-2</v>
      </c>
      <c r="K6" s="179">
        <f>SUMIF('数据-汇总表'!C$19:C$33,'数据-取费表'!A6,'数据-汇总表'!E$19:E$33)</f>
        <v>7143</v>
      </c>
      <c r="L6" s="3026">
        <v>2500</v>
      </c>
      <c r="M6" s="177">
        <f t="shared" ref="M6:M14" si="0">ROUND(K6*L6/10000,0)</f>
        <v>1786</v>
      </c>
      <c r="N6" s="3027">
        <v>0</v>
      </c>
      <c r="O6" s="177">
        <f>IF($N$5="成新度","——",ROUND(M6*N6,0))</f>
        <v>0</v>
      </c>
      <c r="P6" s="178">
        <f>IF($N$5="成新度","——",M6-O6)</f>
        <v>1786</v>
      </c>
      <c r="Q6" s="3028">
        <v>0.25</v>
      </c>
      <c r="R6" s="179">
        <f>SUMIF('数据-汇总表'!C$19:C$33,A6,'数据-汇总表'!R$19:R$33)</f>
        <v>5952.35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v>1</v>
      </c>
      <c r="AE6" s="972" t="e">
        <f ca="1">IF(AN6="",0,SUMIF(INDIRECT("'"&amp;AN6&amp;"'"&amp;"!E:E"),$AE$5,INDIRECT("'"&amp;AN6&amp;"'"&amp;"!F:F")))</f>
        <v>#REF!</v>
      </c>
      <c r="AF6" s="141"/>
      <c r="AG6" s="1212">
        <f>IF(AF6="",0,AE6-AF6)</f>
        <v>0</v>
      </c>
      <c r="AH6" s="141"/>
      <c r="AI6" s="187">
        <v>365</v>
      </c>
      <c r="AJ6" s="188"/>
      <c r="AK6" s="189">
        <v>0.02</v>
      </c>
      <c r="AL6" s="190">
        <v>2E-3</v>
      </c>
      <c r="AM6" s="3039">
        <v>0.02</v>
      </c>
      <c r="AN6" s="2391" t="s">
        <v>3153</v>
      </c>
      <c r="AO6" s="1999"/>
      <c r="AP6" s="1203">
        <f>ROUND(1-1/(1+H6)^F6,3)</f>
        <v>0.93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61地块商业</v>
      </c>
      <c r="B7" s="2336" t="str">
        <f t="shared" ref="B7:B13" si="1">IF(A7=0,"","经营性")</f>
        <v>经营性</v>
      </c>
      <c r="C7" s="173" t="s">
        <v>2994</v>
      </c>
      <c r="D7" s="2307">
        <f>SUMIF(项目基本情况!D$15:I$15,C7,项目基本情况!D$18:I$18)</f>
        <v>40</v>
      </c>
      <c r="E7" s="2308">
        <f>IF(B7="","",SUMIF(项目基本情况!D$15:I$15,C7,项目基本情况!D$17:I$17))</f>
        <v>54395</v>
      </c>
      <c r="F7" s="174">
        <f>SUMIF(项目基本情况!D$15:I$15,C7,项目基本情况!D$19:I$19)</f>
        <v>30.3</v>
      </c>
      <c r="G7" s="175">
        <f t="shared" ref="G7:G11" si="2">IF(ISERROR(ROUND(POWER(1+H7,D7-F7)*(POWER(1+H7,F7)-1)/(POWER(1+H7,D7)-1),3)),0,ROUND(POWER(1+H7,D7-F7)*(POWER(1+H7,F7)-1)/(POWER(1+H7,D7)-1),3))</f>
        <v>0.9</v>
      </c>
      <c r="H7" s="3025">
        <v>0.05</v>
      </c>
      <c r="I7" s="3025">
        <v>5.5E-2</v>
      </c>
      <c r="J7" s="176">
        <v>8.5000000000000006E-2</v>
      </c>
      <c r="K7" s="179">
        <f>SUMIF('数据-汇总表'!C$19:C$33,'数据-取费表'!A7,'数据-汇总表'!E$19:E$33)</f>
        <v>794</v>
      </c>
      <c r="L7" s="3026">
        <v>2500</v>
      </c>
      <c r="M7" s="177">
        <f t="shared" si="0"/>
        <v>199</v>
      </c>
      <c r="N7" s="3027">
        <v>0</v>
      </c>
      <c r="O7" s="177">
        <f t="shared" ref="O7:O14" si="3">IF($N$5="成新度","——",ROUND(M7*N7,0))</f>
        <v>0</v>
      </c>
      <c r="P7" s="178">
        <f t="shared" ref="P7:P14" si="4">IF($N$5="成新度","——",M7-O7)</f>
        <v>199</v>
      </c>
      <c r="Q7" s="3028">
        <v>0.15</v>
      </c>
      <c r="R7" s="179">
        <f>SUMIF('数据-汇总表'!C$19:C$33,A7,'数据-汇总表'!R$19:R$33)</f>
        <v>661.65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1.7</v>
      </c>
      <c r="V7" s="181">
        <v>0.03</v>
      </c>
      <c r="W7" s="181">
        <v>0.15</v>
      </c>
      <c r="X7" s="2320"/>
      <c r="Y7" s="182">
        <v>1</v>
      </c>
      <c r="Z7" s="183"/>
      <c r="AA7" s="176"/>
      <c r="AB7" s="176"/>
      <c r="AC7" s="2323"/>
      <c r="AD7" s="184">
        <v>1</v>
      </c>
      <c r="AE7" s="972">
        <f t="shared" ref="AE7:AE13" ca="1" si="6">IF(AN7="",0,SUMIF(INDIRECT("'"&amp;AN7&amp;"'"&amp;"!E:E"),$AE$5,INDIRECT("'"&amp;AN7&amp;"'"&amp;"!F:F")))</f>
        <v>27.3</v>
      </c>
      <c r="AF7" s="141"/>
      <c r="AG7" s="1212">
        <f t="shared" ref="AG7:AG13" si="7">IF(AF7="",0,AE7-AF7)</f>
        <v>0</v>
      </c>
      <c r="AH7" s="141"/>
      <c r="AI7" s="187">
        <v>365</v>
      </c>
      <c r="AJ7" s="188"/>
      <c r="AK7" s="189">
        <v>1.4999999999999999E-2</v>
      </c>
      <c r="AL7" s="190">
        <v>1.5E-3</v>
      </c>
      <c r="AM7" s="3039">
        <v>0.01</v>
      </c>
      <c r="AN7" s="2391" t="s">
        <v>3149</v>
      </c>
      <c r="AO7" s="1999"/>
      <c r="AP7" s="1203">
        <f t="shared" ref="AP7:AP13" si="8">ROUND(1-1/(1+H7)^F7,3)</f>
        <v>0.77200000000000002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0.96699999999999997</v>
      </c>
      <c r="H16" s="203">
        <f>ROUND(SUMPRODUCT(H6:H13,K6:K13)/SUMPRODUCT((H6:H13&gt;0)*(K6:K13)),3)</f>
        <v>4.5999999999999999E-2</v>
      </c>
      <c r="I16" s="204"/>
      <c r="J16" s="204"/>
      <c r="K16" s="205">
        <f>SUM(K6:K15)</f>
        <v>7937</v>
      </c>
      <c r="L16" s="206">
        <f>ROUND(M16*10000/SUM(K6:K14),0)</f>
        <v>2501</v>
      </c>
      <c r="M16" s="206">
        <f>SUM(M6:M14)</f>
        <v>1985</v>
      </c>
      <c r="N16" s="207">
        <f>ROUND(SUMPRODUCT(M6:M14,N6:N14)/M16,3)</f>
        <v>0</v>
      </c>
      <c r="O16" s="206">
        <f>SUM(O6:O14)</f>
        <v>0</v>
      </c>
      <c r="P16" s="206">
        <f>SUM(P6:P14)</f>
        <v>1985</v>
      </c>
      <c r="Q16" s="208">
        <f>ROUND(SUMPRODUCT(Q6:Q13,K6:K13)/SUMPRODUCT((Q6:Q13&gt;0)*(K6:K13)),2)</f>
        <v>0.24</v>
      </c>
      <c r="R16" s="2310">
        <f>SUM(R6:R13)</f>
        <v>6614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f>(Q6*K6+Q7*K7)/K16</f>
        <v>0.23999622023434547</v>
      </c>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105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5">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4">
        <v>500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5.3000000000000005E-2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3.0000000000000001E-3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0.01</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c r="C53" s="3076" t="s">
        <v>2907</v>
      </c>
      <c r="D53" s="3077"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2909</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2910</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2911</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2912</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2913</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2914</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7" t="s">
        <v>1663</v>
      </c>
      <c r="B1" s="3288"/>
      <c r="C1" s="3288"/>
      <c r="D1" s="3288"/>
      <c r="E1" s="3288"/>
      <c r="F1" s="3288"/>
      <c r="G1" s="3288"/>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2925</v>
      </c>
      <c r="D3" s="2008"/>
      <c r="E3" s="1228" t="s">
        <v>1666</v>
      </c>
      <c r="F3" s="1229" t="s">
        <v>1654</v>
      </c>
      <c r="G3" s="3085" t="s">
        <v>2924</v>
      </c>
      <c r="H3" s="2007"/>
      <c r="I3" s="2007"/>
      <c r="J3" s="2007"/>
      <c r="K3" s="2007"/>
      <c r="L3" s="2007"/>
      <c r="M3" s="2007"/>
      <c r="N3" s="2007"/>
      <c r="O3" s="2007"/>
      <c r="P3" s="2007"/>
      <c r="Q3" s="2007"/>
      <c r="R3" s="2007"/>
    </row>
    <row r="4" spans="1:18" ht="41.25">
      <c r="A4" s="1228"/>
      <c r="B4" s="1230" t="s">
        <v>1667</v>
      </c>
      <c r="C4" s="3082" t="s">
        <v>2926</v>
      </c>
      <c r="D4" s="2008"/>
      <c r="E4" s="1231"/>
      <c r="F4" s="1232" t="s">
        <v>1668</v>
      </c>
      <c r="G4" s="3083" t="s">
        <v>2921</v>
      </c>
      <c r="H4" s="2007"/>
      <c r="I4" s="2007"/>
      <c r="J4" s="2007"/>
      <c r="K4" s="2007"/>
      <c r="L4" s="2007"/>
      <c r="M4" s="2007"/>
      <c r="N4" s="2007"/>
      <c r="O4" s="2007"/>
      <c r="P4" s="2007"/>
      <c r="Q4" s="2007"/>
      <c r="R4" s="2007"/>
    </row>
    <row r="5" spans="1:18" ht="41.25">
      <c r="A5" s="1228"/>
      <c r="B5" s="1230" t="s">
        <v>1669</v>
      </c>
      <c r="C5" s="3082" t="s">
        <v>2927</v>
      </c>
      <c r="D5" s="2008"/>
      <c r="E5" s="1231"/>
      <c r="F5" s="1230" t="s">
        <v>2548</v>
      </c>
      <c r="G5" s="3083" t="s">
        <v>2922</v>
      </c>
      <c r="H5" s="2007"/>
      <c r="I5" s="2007"/>
      <c r="J5" s="2007"/>
      <c r="K5" s="2007"/>
      <c r="L5" s="2007"/>
      <c r="M5" s="2007"/>
      <c r="N5" s="2007"/>
      <c r="O5" s="2007"/>
      <c r="P5" s="2007"/>
      <c r="Q5" s="2007"/>
      <c r="R5" s="2007"/>
    </row>
    <row r="6" spans="1:18" ht="54">
      <c r="A6" s="1228"/>
      <c r="B6" s="1230" t="s">
        <v>1655</v>
      </c>
      <c r="C6" s="3083" t="s">
        <v>2921</v>
      </c>
      <c r="D6" s="2008"/>
      <c r="E6" s="1231"/>
      <c r="F6" s="1230" t="s">
        <v>2549</v>
      </c>
      <c r="G6" s="3083" t="s">
        <v>2919</v>
      </c>
      <c r="H6" s="2007"/>
      <c r="I6" s="2007"/>
      <c r="J6" s="2007"/>
      <c r="K6" s="2007"/>
      <c r="L6" s="2007"/>
      <c r="M6" s="2007"/>
      <c r="N6" s="2007"/>
      <c r="O6" s="2007"/>
      <c r="P6" s="2007"/>
      <c r="Q6" s="2007"/>
      <c r="R6" s="2007"/>
    </row>
    <row r="7" spans="1:18" ht="41.25" thickBot="1">
      <c r="A7" s="1228"/>
      <c r="B7" s="1230" t="s">
        <v>2548</v>
      </c>
      <c r="C7" s="3083" t="s">
        <v>2922</v>
      </c>
      <c r="D7" s="2009"/>
      <c r="E7" s="1233"/>
      <c r="F7" s="1234" t="s">
        <v>1670</v>
      </c>
      <c r="G7" s="3086" t="s">
        <v>2923</v>
      </c>
      <c r="H7" s="2007"/>
      <c r="I7" s="2007"/>
      <c r="J7" s="2007"/>
      <c r="K7" s="2007"/>
      <c r="L7" s="2007"/>
      <c r="M7" s="2007"/>
      <c r="N7" s="2007"/>
      <c r="O7" s="2007"/>
      <c r="P7" s="2007"/>
      <c r="Q7" s="2007"/>
      <c r="R7" s="2007"/>
    </row>
    <row r="8" spans="1:18" ht="27">
      <c r="A8" s="1228"/>
      <c r="B8" s="1230" t="s">
        <v>2549</v>
      </c>
      <c r="C8" s="3083" t="s">
        <v>2919</v>
      </c>
      <c r="D8" s="2009"/>
      <c r="E8" s="2009"/>
      <c r="F8" s="1552"/>
      <c r="G8" s="1552"/>
      <c r="H8" s="2007"/>
      <c r="I8" s="2007"/>
      <c r="J8" s="2007"/>
      <c r="K8" s="2007"/>
      <c r="L8" s="2007"/>
      <c r="M8" s="2007"/>
      <c r="N8" s="2007"/>
      <c r="O8" s="2007"/>
      <c r="P8" s="2007"/>
      <c r="Q8" s="2007"/>
      <c r="R8" s="2007"/>
    </row>
    <row r="9" spans="1:18" ht="40.5">
      <c r="A9" s="1228"/>
      <c r="B9" s="1230" t="s">
        <v>1656</v>
      </c>
      <c r="C9" s="3082"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7"/>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6" sqref="C26"/>
    </sheetView>
  </sheetViews>
  <sheetFormatPr defaultColWidth="14.625" defaultRowHeight="13.5"/>
  <cols>
    <col min="1" max="1" width="24.375" customWidth="1"/>
  </cols>
  <sheetData>
    <row r="1" spans="1:9" ht="16.5">
      <c r="A1" s="3045" t="s">
        <v>2846</v>
      </c>
      <c r="B1" s="3045">
        <f>SUM(B14:B23)</f>
        <v>89392</v>
      </c>
      <c r="C1" s="3046"/>
      <c r="D1" s="3046"/>
      <c r="E1" s="3046"/>
      <c r="F1" s="3046"/>
    </row>
    <row r="2" spans="1:9" ht="16.5">
      <c r="A2" s="3045" t="s">
        <v>2847</v>
      </c>
      <c r="B2" s="3045">
        <f>SUM(C14:C23)</f>
        <v>89533</v>
      </c>
      <c r="C2" s="3046"/>
      <c r="D2" s="3046"/>
      <c r="E2" s="3046"/>
      <c r="F2" s="3046"/>
    </row>
    <row r="3" spans="1:9" ht="16.5">
      <c r="A3" s="3045" t="s">
        <v>2848</v>
      </c>
      <c r="B3" s="3047">
        <f>项目基本情况!D3</f>
        <v>43334</v>
      </c>
      <c r="C3" s="3046"/>
      <c r="D3" s="3046"/>
      <c r="E3" s="3046"/>
      <c r="F3" s="3046"/>
    </row>
    <row r="4" spans="1:9" ht="33">
      <c r="A4" s="3045" t="s">
        <v>2849</v>
      </c>
      <c r="B4" s="3045" t="s">
        <v>2850</v>
      </c>
      <c r="C4" s="3045" t="s">
        <v>2851</v>
      </c>
      <c r="D4" s="3045" t="s">
        <v>2852</v>
      </c>
      <c r="E4" s="3046"/>
      <c r="F4" s="3046"/>
    </row>
    <row r="5" spans="1:9" ht="16.5">
      <c r="A5" s="3045" t="s">
        <v>2853</v>
      </c>
      <c r="B5" s="3045">
        <f ca="1">SUM(D14:D23)</f>
        <v>17468</v>
      </c>
      <c r="C5" s="3045">
        <f ca="1">ROUND(B5*10000/$B$1,0)</f>
        <v>1954</v>
      </c>
      <c r="D5" s="3045">
        <f ca="1">ROUND(B5*10000/$B$2,0)</f>
        <v>1951</v>
      </c>
      <c r="E5" s="3046"/>
      <c r="F5" s="3046"/>
    </row>
    <row r="6" spans="1:9" ht="16.5">
      <c r="A6" s="3045" t="s">
        <v>2854</v>
      </c>
      <c r="B6" s="3045">
        <f>SUM(G14:G23)</f>
        <v>0</v>
      </c>
      <c r="C6" s="3045">
        <f t="shared" ref="C6:C8" si="0">ROUND(B6*10000/$B$1,0)</f>
        <v>0</v>
      </c>
      <c r="D6" s="3045">
        <f t="shared" ref="D6:D8" si="1">ROUND(B6*10000/$B$2,0)</f>
        <v>0</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7937</v>
      </c>
      <c r="C14" s="3049">
        <f>结果表!K38</f>
        <v>6614</v>
      </c>
      <c r="D14" s="3049">
        <f ca="1">结果表!C42</f>
        <v>1862</v>
      </c>
      <c r="E14" s="3049">
        <f ca="1">ROUND(D14*10000/B14,0)</f>
        <v>2346</v>
      </c>
      <c r="F14" s="3049">
        <f ca="1">ROUND(D14*10000/C14,0)</f>
        <v>2815</v>
      </c>
      <c r="G14" s="3049" t="str">
        <f>结果表!C44</f>
        <v>——</v>
      </c>
      <c r="H14" s="3049" t="str">
        <f>结果表!C45</f>
        <v>——</v>
      </c>
      <c r="I14" s="3049" t="str">
        <f>结果表!C46</f>
        <v>——</v>
      </c>
    </row>
    <row r="15" spans="1:9" ht="16.5">
      <c r="A15" s="3052" t="s">
        <v>2863</v>
      </c>
      <c r="B15" s="3053">
        <f>[1]系统读取表!$B$14</f>
        <v>14507</v>
      </c>
      <c r="C15" s="3053">
        <f>[1]系统读取表!$C$14</f>
        <v>18134</v>
      </c>
      <c r="D15" s="3053">
        <f ca="1">[2]结果表!$C$32</f>
        <v>2649</v>
      </c>
      <c r="E15" s="3049">
        <f t="shared" ref="E15:E23" ca="1" si="2">ROUND(D15*10000/B15,0)</f>
        <v>1826</v>
      </c>
      <c r="F15" s="3049">
        <f t="shared" ref="F15:F23" ca="1" si="3">ROUND(D15*10000/C15,0)</f>
        <v>1461</v>
      </c>
      <c r="G15" s="3050"/>
      <c r="H15" s="3050"/>
      <c r="I15" s="3053"/>
    </row>
    <row r="16" spans="1:9" ht="16.5">
      <c r="A16" s="3052" t="s">
        <v>2864</v>
      </c>
      <c r="B16" s="3053">
        <f>[3]系统读取表!$B$14</f>
        <v>11508</v>
      </c>
      <c r="C16" s="3053">
        <f>[3]系统读取表!$C$14</f>
        <v>14385</v>
      </c>
      <c r="D16" s="3053">
        <f ca="1">[4]结果表!$C$32</f>
        <v>2164</v>
      </c>
      <c r="E16" s="3049">
        <f t="shared" ca="1" si="2"/>
        <v>1880</v>
      </c>
      <c r="F16" s="3049">
        <f t="shared" ca="1" si="3"/>
        <v>1504</v>
      </c>
      <c r="G16" s="3050"/>
      <c r="H16" s="3050"/>
      <c r="I16" s="3053"/>
    </row>
    <row r="17" spans="1:9" ht="16.5">
      <c r="A17" s="3052" t="s">
        <v>2865</v>
      </c>
      <c r="B17" s="3053">
        <f>[5]系统读取表!$B$14</f>
        <v>17894</v>
      </c>
      <c r="C17" s="3053">
        <f>[5]系统读取表!$C$14</f>
        <v>16267</v>
      </c>
      <c r="D17" s="3053">
        <f ca="1">[6]结果表!$C$32</f>
        <v>3529</v>
      </c>
      <c r="E17" s="3049">
        <f t="shared" ca="1" si="2"/>
        <v>1972</v>
      </c>
      <c r="F17" s="3049">
        <f t="shared" ca="1" si="3"/>
        <v>2169</v>
      </c>
      <c r="G17" s="3050"/>
      <c r="H17" s="3050"/>
      <c r="I17" s="3053"/>
    </row>
    <row r="18" spans="1:9" ht="16.5">
      <c r="A18" s="3052" t="s">
        <v>2866</v>
      </c>
      <c r="B18" s="3053">
        <f>[7]系统读取表!$B$14</f>
        <v>25013</v>
      </c>
      <c r="C18" s="3053">
        <f>[7]系统读取表!$C$14</f>
        <v>22739</v>
      </c>
      <c r="D18" s="3053">
        <f ca="1">[8]结果表!$C$32</f>
        <v>4809</v>
      </c>
      <c r="E18" s="3049">
        <f t="shared" ca="1" si="2"/>
        <v>1923</v>
      </c>
      <c r="F18" s="3049">
        <f t="shared" ca="1" si="3"/>
        <v>2115</v>
      </c>
      <c r="G18" s="3053"/>
      <c r="H18" s="3053"/>
      <c r="I18" s="3053"/>
    </row>
    <row r="19" spans="1:9" ht="16.5">
      <c r="A19" s="3052" t="s">
        <v>2867</v>
      </c>
      <c r="B19" s="3053">
        <f>[9]系统读取表!$B$14</f>
        <v>12533</v>
      </c>
      <c r="C19" s="3053">
        <f>[9]系统读取表!$C$14</f>
        <v>11394</v>
      </c>
      <c r="D19" s="3053">
        <f ca="1">[10]结果表!$C$32</f>
        <v>2455</v>
      </c>
      <c r="E19" s="3049">
        <f t="shared" ca="1" si="2"/>
        <v>1959</v>
      </c>
      <c r="F19" s="3049">
        <f t="shared" ca="1" si="3"/>
        <v>2155</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23" sqref="F2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25" t="str">
        <f>项目基本情况!K2</f>
        <v>出让国有建设用地使用权</v>
      </c>
      <c r="B2" s="3326"/>
      <c r="C2" s="3327"/>
      <c r="D2" s="3327"/>
      <c r="E2" s="3327"/>
      <c r="F2" s="3327"/>
      <c r="G2" s="3326"/>
      <c r="H2" s="3326"/>
      <c r="I2" s="3328"/>
      <c r="J2" s="2029"/>
      <c r="K2" s="2028"/>
      <c r="L2" s="2028"/>
      <c r="M2" s="2028"/>
      <c r="N2" s="2028"/>
      <c r="O2" s="2028"/>
      <c r="P2" s="2028"/>
      <c r="Q2" s="2028"/>
      <c r="R2" s="2028"/>
      <c r="S2" s="2028"/>
      <c r="T2" s="2028"/>
      <c r="U2" s="2028"/>
      <c r="V2" s="2028"/>
    </row>
    <row r="3" spans="1:22" ht="14.25">
      <c r="A3" s="3318" t="s">
        <v>298</v>
      </c>
      <c r="B3" s="3319"/>
      <c r="C3" s="3319"/>
      <c r="D3" s="3319"/>
      <c r="E3" s="3319"/>
      <c r="F3" s="3319"/>
      <c r="G3" s="3319"/>
      <c r="H3" s="3319"/>
      <c r="I3" s="3319"/>
      <c r="J3" s="2029"/>
      <c r="K3" s="2028"/>
      <c r="L3" s="2028"/>
      <c r="M3" s="2028"/>
      <c r="N3" s="2028"/>
      <c r="O3" s="2028"/>
      <c r="P3" s="2028"/>
      <c r="Q3" s="2028"/>
      <c r="R3" s="2028"/>
      <c r="S3" s="2028"/>
      <c r="T3" s="2028"/>
      <c r="U3" s="2028"/>
      <c r="V3" s="2028"/>
    </row>
    <row r="4" spans="1:22" ht="14.25">
      <c r="A4" s="258" t="s">
        <v>299</v>
      </c>
      <c r="B4" s="259" t="s">
        <v>300</v>
      </c>
      <c r="C4" s="260" t="s">
        <v>3144</v>
      </c>
      <c r="D4" s="260" t="s">
        <v>3143</v>
      </c>
      <c r="E4" s="3290" t="s">
        <v>301</v>
      </c>
      <c r="F4" s="3291"/>
      <c r="G4" s="3291"/>
      <c r="H4" s="3291"/>
      <c r="I4" s="332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9" t="s">
        <v>302</v>
      </c>
      <c r="B5" s="3315">
        <v>25</v>
      </c>
      <c r="C5" s="3313"/>
      <c r="D5" s="3317"/>
      <c r="E5" s="261" t="s">
        <v>303</v>
      </c>
      <c r="F5" s="262"/>
      <c r="G5" s="262"/>
      <c r="H5" s="262"/>
      <c r="I5" s="263"/>
      <c r="J5" s="2029"/>
      <c r="K5" s="2028"/>
      <c r="L5" s="2028"/>
      <c r="M5" s="2028"/>
      <c r="N5" s="2028"/>
      <c r="O5" s="2028"/>
      <c r="P5" s="2028"/>
      <c r="Q5" s="2028"/>
      <c r="R5" s="2028"/>
      <c r="S5" s="2028"/>
      <c r="T5" s="2028"/>
      <c r="U5" s="2028"/>
      <c r="V5" s="2028"/>
    </row>
    <row r="6" spans="1:22" ht="14.25">
      <c r="A6" s="3289"/>
      <c r="B6" s="3315"/>
      <c r="C6" s="3316"/>
      <c r="D6" s="3317"/>
      <c r="E6" s="261" t="s">
        <v>304</v>
      </c>
      <c r="F6" s="262"/>
      <c r="G6" s="262"/>
      <c r="H6" s="262"/>
      <c r="I6" s="263"/>
      <c r="J6" s="2029"/>
      <c r="K6" s="2028"/>
      <c r="L6" s="2028"/>
      <c r="M6" s="2028"/>
      <c r="N6" s="2028"/>
      <c r="O6" s="2028"/>
      <c r="P6" s="2028"/>
      <c r="Q6" s="2028"/>
      <c r="R6" s="2028"/>
      <c r="S6" s="2028"/>
      <c r="T6" s="2028"/>
      <c r="U6" s="2028"/>
      <c r="V6" s="2028"/>
    </row>
    <row r="7" spans="1:22" ht="14.25">
      <c r="A7" s="3289"/>
      <c r="B7" s="3315"/>
      <c r="C7" s="3314"/>
      <c r="D7" s="3317"/>
      <c r="E7" s="261" t="s">
        <v>305</v>
      </c>
      <c r="F7" s="262"/>
      <c r="G7" s="262"/>
      <c r="H7" s="262"/>
      <c r="I7" s="263"/>
      <c r="J7" s="2029"/>
      <c r="K7" s="2028"/>
      <c r="L7" s="2028"/>
      <c r="M7" s="2028"/>
      <c r="N7" s="2028"/>
      <c r="O7" s="2028"/>
      <c r="P7" s="2028"/>
      <c r="Q7" s="2028"/>
      <c r="R7" s="2028"/>
      <c r="S7" s="2028"/>
      <c r="T7" s="2028"/>
      <c r="U7" s="2028"/>
      <c r="V7" s="2028"/>
    </row>
    <row r="8" spans="1:22" ht="14.25">
      <c r="A8" s="3289" t="s">
        <v>306</v>
      </c>
      <c r="B8" s="3315">
        <v>15</v>
      </c>
      <c r="C8" s="3313"/>
      <c r="D8" s="3317"/>
      <c r="E8" s="261" t="s">
        <v>307</v>
      </c>
      <c r="F8" s="262"/>
      <c r="G8" s="262"/>
      <c r="H8" s="262"/>
      <c r="I8" s="263"/>
      <c r="J8" s="2029"/>
      <c r="K8" s="2028"/>
      <c r="L8" s="2028"/>
      <c r="M8" s="2028"/>
      <c r="N8" s="2028"/>
      <c r="O8" s="2028"/>
      <c r="P8" s="2028"/>
      <c r="Q8" s="2028"/>
      <c r="R8" s="2028"/>
      <c r="S8" s="2028"/>
      <c r="T8" s="2028"/>
      <c r="U8" s="2028"/>
      <c r="V8" s="2028"/>
    </row>
    <row r="9" spans="1:22" ht="14.25">
      <c r="A9" s="3289"/>
      <c r="B9" s="3315"/>
      <c r="C9" s="3314"/>
      <c r="D9" s="3317"/>
      <c r="E9" s="261" t="s">
        <v>308</v>
      </c>
      <c r="F9" s="262"/>
      <c r="G9" s="262"/>
      <c r="H9" s="262"/>
      <c r="I9" s="263"/>
      <c r="J9" s="2029"/>
      <c r="K9" s="2028"/>
      <c r="L9" s="2028"/>
      <c r="M9" s="2028"/>
      <c r="N9" s="2028"/>
      <c r="O9" s="2028"/>
      <c r="P9" s="2028"/>
      <c r="Q9" s="2028"/>
      <c r="R9" s="2028"/>
      <c r="S9" s="2028"/>
      <c r="T9" s="2028"/>
      <c r="U9" s="2028"/>
      <c r="V9" s="2028"/>
    </row>
    <row r="10" spans="1:22" ht="14.25">
      <c r="A10" s="3289" t="s">
        <v>309</v>
      </c>
      <c r="B10" s="3315">
        <v>15</v>
      </c>
      <c r="C10" s="3313"/>
      <c r="D10" s="3317"/>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9"/>
      <c r="B11" s="3315"/>
      <c r="C11" s="3314"/>
      <c r="D11" s="3317"/>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9" t="s">
        <v>312</v>
      </c>
      <c r="B12" s="3315">
        <v>15</v>
      </c>
      <c r="C12" s="3313"/>
      <c r="D12" s="3317"/>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9"/>
      <c r="B13" s="3315"/>
      <c r="C13" s="3314"/>
      <c r="D13" s="3317"/>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9" t="s">
        <v>315</v>
      </c>
      <c r="B14" s="3315">
        <v>30</v>
      </c>
      <c r="C14" s="3313">
        <v>55</v>
      </c>
      <c r="D14" s="3317">
        <v>45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9"/>
      <c r="B15" s="3315"/>
      <c r="C15" s="3316"/>
      <c r="D15" s="3317"/>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9"/>
      <c r="B16" s="3315"/>
      <c r="C16" s="3314"/>
      <c r="D16" s="331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55</v>
      </c>
      <c r="D17" s="265">
        <f>SUM(D5:D16)</f>
        <v>45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1017</v>
      </c>
      <c r="D19" s="271">
        <f ca="1">SUMIF(INDIRECT("'"&amp;D4&amp;"'"&amp;"!A:A"),结果表!B19,INDIRECT("'"&amp;D4&amp;"'"&amp;"!B:B"))</f>
        <v>4070</v>
      </c>
      <c r="E19" s="268" t="s">
        <v>323</v>
      </c>
      <c r="F19" s="269" t="s">
        <v>322</v>
      </c>
      <c r="G19" s="272">
        <f ca="1">ROUND(C19*$C$18+D19*$D$18,0)</f>
        <v>2391</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1281</v>
      </c>
      <c r="D20" s="277">
        <f ca="1">SUMIF(INDIRECT("'"&amp;D4&amp;"'"&amp;"!A:A"),结果表!B20,INDIRECT("'"&amp;D4&amp;"'"&amp;"!B:B"))</f>
        <v>5128</v>
      </c>
      <c r="E20" s="274"/>
      <c r="F20" s="275" t="s">
        <v>325</v>
      </c>
      <c r="G20" s="278">
        <f ca="1">ROUND(C20*$C$18+D20*$D$18,0)</f>
        <v>3012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1538</v>
      </c>
      <c r="D21" s="151">
        <f ca="1">SUMIF(INDIRECT("'"&amp;D4&amp;"'"&amp;"!A:A"),结果表!B21,INDIRECT("'"&amp;D4&amp;"'"&amp;"!B:B"))</f>
        <v>6154</v>
      </c>
      <c r="E21" s="274"/>
      <c r="F21" s="280" t="s">
        <v>327</v>
      </c>
      <c r="G21" s="282">
        <f ca="1">ROUND(C21*$C$18+D21*$D$18,0)</f>
        <v>3615</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3.0019665683382497</v>
      </c>
      <c r="E22" s="284"/>
      <c r="F22" s="285"/>
      <c r="G22" s="286">
        <f ca="1">ROUND(G19/('数据-汇总表'!D3/666.67),0)</f>
        <v>241</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5" t="s">
        <v>330</v>
      </c>
      <c r="B24" s="269" t="s">
        <v>322</v>
      </c>
      <c r="C24" s="288">
        <f>IF(B30=0,0,D30)</f>
        <v>529</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6"/>
      <c r="B25" s="1320" t="s">
        <v>3169</v>
      </c>
      <c r="C25" s="290">
        <f>IF(B30=0,0,C30)</f>
        <v>0</v>
      </c>
      <c r="D25" s="291"/>
      <c r="E25" s="311"/>
      <c r="F25" s="311"/>
      <c r="G25" s="311"/>
      <c r="H25" s="311"/>
      <c r="I25" s="311"/>
      <c r="J25" s="2028"/>
      <c r="K25" s="1254" t="str">
        <f ca="1">项目基本情况!B16&amp;"国有建设用地使用权价格："&amp;O38&amp;"万元"</f>
        <v>出让国有建设用地使用权价格：1862万元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大写金额：人民币壹仟捌佰陆拾贰万元整</v>
      </c>
      <c r="L26" s="1251"/>
      <c r="M26" s="1251"/>
      <c r="N26" s="1251"/>
      <c r="O26" s="1250"/>
      <c r="P26" s="2028"/>
      <c r="Q26" s="2028"/>
      <c r="R26" s="2028"/>
      <c r="S26" s="2028"/>
      <c r="T26" s="2028"/>
      <c r="U26" s="2028"/>
      <c r="V26" s="2028"/>
      <c r="W26" s="292"/>
      <c r="X26" s="292"/>
      <c r="Y26" s="292"/>
      <c r="Z26" s="292"/>
    </row>
    <row r="27" spans="1:26" ht="18">
      <c r="A27" s="293"/>
      <c r="B27" s="294">
        <f>'数据-基础表'!A3</f>
        <v>6614</v>
      </c>
      <c r="C27" s="294">
        <v>800</v>
      </c>
      <c r="D27" s="295">
        <f>ROUND(B27*C27/10000,0)</f>
        <v>529</v>
      </c>
      <c r="E27" s="311"/>
      <c r="F27" s="311"/>
      <c r="G27" s="311"/>
      <c r="H27" s="311"/>
      <c r="I27" s="311"/>
      <c r="J27" s="2028"/>
      <c r="K27" s="1257" t="str">
        <f ca="1">"单位面积地价："&amp;M38&amp;"元/平方米"</f>
        <v>单位面积地价：2815元/平方米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楼面地价：2346元/平方米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30" t="s">
        <v>335</v>
      </c>
      <c r="B30" s="309">
        <f>B27</f>
        <v>6614</v>
      </c>
      <c r="C30" s="309"/>
      <c r="D30" s="310">
        <f>D27</f>
        <v>529</v>
      </c>
      <c r="E30" s="3131"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1862</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2346</v>
      </c>
      <c r="D33" s="1384" t="s">
        <v>1691</v>
      </c>
      <c r="E33" s="3295"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2815</v>
      </c>
      <c r="D34" s="1386" t="s">
        <v>1691</v>
      </c>
      <c r="E34" s="3336"/>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188</v>
      </c>
      <c r="D35" s="1389" t="s">
        <v>1693</v>
      </c>
      <c r="E35" s="3337"/>
      <c r="F35" s="301" t="s">
        <v>341</v>
      </c>
      <c r="G35" s="981"/>
      <c r="H35" s="980" t="s">
        <v>342</v>
      </c>
      <c r="I35" s="311"/>
      <c r="J35" s="2028"/>
      <c r="K35" s="3310" t="s">
        <v>349</v>
      </c>
      <c r="L35" s="3310" t="s">
        <v>350</v>
      </c>
      <c r="M35" s="1263" t="s">
        <v>351</v>
      </c>
      <c r="N35" s="3310" t="s">
        <v>352</v>
      </c>
      <c r="O35" s="3310" t="s">
        <v>353</v>
      </c>
      <c r="P35" s="2028"/>
      <c r="V35" s="2028"/>
    </row>
    <row r="36" spans="1:26" ht="16.5" customHeight="1">
      <c r="A36" s="303" t="s">
        <v>343</v>
      </c>
      <c r="B36" s="304" t="s">
        <v>332</v>
      </c>
      <c r="C36" s="305" t="s">
        <v>344</v>
      </c>
      <c r="D36" s="305" t="s">
        <v>345</v>
      </c>
      <c r="E36" s="306" t="s">
        <v>346</v>
      </c>
      <c r="F36" s="311"/>
      <c r="G36" s="311"/>
      <c r="H36" s="311"/>
      <c r="I36" s="311"/>
      <c r="J36" s="2030"/>
      <c r="K36" s="3311"/>
      <c r="L36" s="3311"/>
      <c r="M36" s="1265" t="s">
        <v>354</v>
      </c>
      <c r="N36" s="3311"/>
      <c r="O36" s="3311"/>
      <c r="P36" s="2028"/>
      <c r="V36" s="2028"/>
    </row>
    <row r="37" spans="1:26" ht="16.5" customHeight="1" thickBot="1">
      <c r="A37" s="1259" t="s">
        <v>347</v>
      </c>
      <c r="B37" s="307"/>
      <c r="C37" s="294"/>
      <c r="D37" s="294"/>
      <c r="E37" s="295"/>
      <c r="F37" s="311"/>
      <c r="G37" s="311"/>
      <c r="H37" s="311"/>
      <c r="I37" s="311"/>
      <c r="J37" s="2030"/>
      <c r="K37" s="3312"/>
      <c r="L37" s="3312"/>
      <c r="M37" s="1266"/>
      <c r="N37" s="3312"/>
      <c r="O37" s="3312"/>
      <c r="P37" s="2028"/>
      <c r="V37" s="2028"/>
    </row>
    <row r="38" spans="1:26" ht="16.5" customHeight="1" thickBot="1">
      <c r="A38" s="1259" t="s">
        <v>348</v>
      </c>
      <c r="B38" s="307"/>
      <c r="C38" s="294"/>
      <c r="D38" s="294"/>
      <c r="E38" s="295"/>
      <c r="F38" s="311"/>
      <c r="G38" s="311"/>
      <c r="H38" s="311"/>
      <c r="I38" s="311"/>
      <c r="J38" s="2030"/>
      <c r="K38" s="1267">
        <f>'数据-汇总表'!D3</f>
        <v>6614</v>
      </c>
      <c r="L38" s="1268">
        <f>'数据-汇总表'!E3</f>
        <v>7937</v>
      </c>
      <c r="M38" s="1268">
        <f ca="1">C34</f>
        <v>2815</v>
      </c>
      <c r="N38" s="1268">
        <f ca="1">C33</f>
        <v>2346</v>
      </c>
      <c r="O38" s="1269">
        <f ca="1">C32</f>
        <v>1862</v>
      </c>
      <c r="P38" s="2028"/>
      <c r="V38" s="2028"/>
    </row>
    <row r="39" spans="1:26" ht="16.5" customHeight="1" thickBot="1">
      <c r="A39" s="1264"/>
      <c r="B39" s="308"/>
      <c r="C39" s="309"/>
      <c r="D39" s="309"/>
      <c r="E39" s="310"/>
      <c r="F39" s="311"/>
      <c r="G39" s="311"/>
      <c r="H39" s="311"/>
      <c r="I39" s="311"/>
      <c r="J39" s="2030"/>
      <c r="K39" s="3355" t="str">
        <f>MID(A44,3,LEN(A44)-2)</f>
        <v/>
      </c>
      <c r="L39" s="3356"/>
      <c r="M39" s="3356"/>
      <c r="N39" s="3357"/>
      <c r="O39" s="1391" t="str">
        <f>C44</f>
        <v>——</v>
      </c>
      <c r="P39" s="2028"/>
      <c r="V39" s="2028"/>
    </row>
    <row r="40" spans="1:26" ht="19.5" thickBot="1">
      <c r="A40" s="104" t="s">
        <v>872</v>
      </c>
      <c r="B40" s="311"/>
      <c r="C40" s="311"/>
      <c r="D40" s="311"/>
      <c r="E40" s="311"/>
      <c r="F40" s="311"/>
      <c r="G40" s="311"/>
      <c r="H40" s="311"/>
      <c r="I40" s="311"/>
      <c r="J40" s="2030"/>
      <c r="K40" s="3355" t="str">
        <f t="shared" ref="K40:K41" si="0">MID(A45,3,LEN(A45)-2)</f>
        <v/>
      </c>
      <c r="L40" s="3356"/>
      <c r="M40" s="3356"/>
      <c r="N40" s="3357"/>
      <c r="O40" s="1391" t="str">
        <f>C45</f>
        <v>——</v>
      </c>
      <c r="P40" s="2028"/>
      <c r="V40" s="2028"/>
    </row>
    <row r="41" spans="1:26" ht="16.5" thickBot="1">
      <c r="A41" s="312" t="s">
        <v>355</v>
      </c>
      <c r="B41" s="313"/>
      <c r="C41" s="314" t="s">
        <v>356</v>
      </c>
      <c r="D41" s="315" t="s">
        <v>357</v>
      </c>
      <c r="E41" s="315" t="s">
        <v>358</v>
      </c>
      <c r="F41" s="316" t="s">
        <v>359</v>
      </c>
      <c r="G41" s="311"/>
      <c r="H41" s="311"/>
      <c r="I41" s="311"/>
      <c r="J41" s="2030"/>
      <c r="K41" s="3355" t="str">
        <f t="shared" si="0"/>
        <v/>
      </c>
      <c r="L41" s="3356"/>
      <c r="M41" s="3356"/>
      <c r="N41" s="3357"/>
      <c r="O41" s="1391" t="str">
        <f>C46</f>
        <v>——</v>
      </c>
      <c r="P41" s="2028"/>
      <c r="V41" s="2028"/>
    </row>
    <row r="42" spans="1:26" ht="29.25">
      <c r="A42" s="3297" t="s">
        <v>2069</v>
      </c>
      <c r="B42" s="3298"/>
      <c r="C42" s="264">
        <f ca="1">C32</f>
        <v>1862</v>
      </c>
      <c r="D42" s="317">
        <f ca="1">C33</f>
        <v>2346</v>
      </c>
      <c r="E42" s="317">
        <f ca="1">C34</f>
        <v>2815</v>
      </c>
      <c r="F42" s="318">
        <f ca="1">C35</f>
        <v>188</v>
      </c>
      <c r="G42" s="311"/>
      <c r="H42" s="311"/>
      <c r="I42" s="319"/>
      <c r="J42" s="2030"/>
      <c r="K42" s="1270" t="s">
        <v>360</v>
      </c>
      <c r="L42" s="2047" t="s">
        <v>361</v>
      </c>
      <c r="M42" s="1271" t="s">
        <v>362</v>
      </c>
      <c r="N42" s="2048" t="s">
        <v>363</v>
      </c>
      <c r="O42" s="2049" t="s">
        <v>364</v>
      </c>
      <c r="P42" s="2028"/>
      <c r="V42" s="2028"/>
    </row>
    <row r="43" spans="1:26" ht="30">
      <c r="A43" s="3308" t="s">
        <v>2732</v>
      </c>
      <c r="B43" s="3309"/>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1017</v>
      </c>
      <c r="M43" s="1274">
        <f>C18</f>
        <v>0.55000000000000004</v>
      </c>
      <c r="N43" s="1275">
        <f ca="1">IF(N42="测算结果/万元",G19,G20)</f>
        <v>2391</v>
      </c>
      <c r="O43" s="1276">
        <f ca="1">IF(O42="最终结果/万元",C32,C33)</f>
        <v>1862</v>
      </c>
      <c r="P43" s="2028"/>
      <c r="V43" s="2028"/>
    </row>
    <row r="44" spans="1:26" ht="30.75" thickBot="1">
      <c r="A44" s="3297" t="str">
        <f>IF(OR(项目基本情况!E8="抵押价格",项目基本情况!E8="已注销及未注销"),"3.抵押价格","——")</f>
        <v>——</v>
      </c>
      <c r="B44" s="3298"/>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4070</v>
      </c>
      <c r="M44" s="1279">
        <f>D18</f>
        <v>0.44999999999999996</v>
      </c>
      <c r="N44" s="1280"/>
      <c r="O44" s="1281"/>
      <c r="P44" s="2028"/>
      <c r="V44" s="2028"/>
    </row>
    <row r="45" spans="1:26" ht="15">
      <c r="A45" s="3303" t="str">
        <f>IF(项目基本情况!E8="已注销及未注销","4.抵押担保权已注销时的抵押价格",IF(项目基本情况!E8="已注销","3.抵押担保权已注销时的抵押价格","——"))</f>
        <v>——</v>
      </c>
      <c r="B45" s="330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9" t="str">
        <f>IF(项目基本情况!E9="抵押净值",IF(A45="——","4.抵押净值","5.抵押净值"),"——")</f>
        <v>——</v>
      </c>
      <c r="B46" s="330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4" t="s">
        <v>373</v>
      </c>
      <c r="B63" s="3345"/>
      <c r="C63" s="3346"/>
      <c r="D63" s="341">
        <f ca="1">ROUND(C42*F63,0)</f>
        <v>1117</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05" t="s">
        <v>377</v>
      </c>
      <c r="B64" s="3306"/>
      <c r="C64" s="3306"/>
      <c r="D64" s="3306"/>
      <c r="E64" s="3306"/>
      <c r="F64" s="3306"/>
      <c r="G64" s="3307"/>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301" t="s">
        <v>385</v>
      </c>
      <c r="B66" s="3302"/>
      <c r="C66" s="3302"/>
      <c r="D66" s="261">
        <f ca="1">IF(H66="情况1",0,IF(H66="情况2",D70,IF(H66="情况3",D71,IF(H66="情况4",D72))))</f>
        <v>56</v>
      </c>
      <c r="E66" s="992" t="str">
        <f>IF(H66="情况4","(销售额-原购置价)×税（费）率","销售额×税（费）率")</f>
        <v>销售额×税（费）率</v>
      </c>
      <c r="F66" s="350">
        <f>IF(H66="情况1","免征",'数据-取费表'!B41)</f>
        <v>5.3000000000000005E-2</v>
      </c>
      <c r="G66" s="351" t="s">
        <v>386</v>
      </c>
      <c r="H66" s="191" t="s">
        <v>387</v>
      </c>
      <c r="I66" s="1287"/>
      <c r="J66" s="2034"/>
      <c r="K66" s="1290">
        <v>1</v>
      </c>
      <c r="L66" s="3359" t="s">
        <v>384</v>
      </c>
      <c r="M66" s="3360"/>
      <c r="N66" s="2458"/>
      <c r="O66" s="2459"/>
      <c r="P66" s="2460"/>
      <c r="Q66" s="2028"/>
      <c r="R66" s="2028"/>
      <c r="S66" s="2028"/>
      <c r="T66" s="2028"/>
      <c r="U66" s="2028"/>
      <c r="V66" s="2028"/>
    </row>
    <row r="67" spans="1:22" ht="25.5" customHeight="1">
      <c r="A67" s="352" t="s">
        <v>389</v>
      </c>
      <c r="B67" s="3292" t="s">
        <v>390</v>
      </c>
      <c r="C67" s="3292"/>
      <c r="D67" s="353">
        <v>0</v>
      </c>
      <c r="E67" s="41" t="s">
        <v>391</v>
      </c>
      <c r="F67" s="62" t="s">
        <v>21</v>
      </c>
      <c r="G67" s="3347"/>
      <c r="H67" s="311"/>
      <c r="I67" s="1291"/>
      <c r="J67" s="2035"/>
      <c r="K67" s="1976">
        <v>2</v>
      </c>
      <c r="L67" s="3358" t="s">
        <v>388</v>
      </c>
      <c r="M67" s="3358"/>
      <c r="N67" s="1324">
        <f>'数据-取费表'!B2</f>
        <v>43334</v>
      </c>
      <c r="O67" s="1324"/>
      <c r="P67" s="1324"/>
      <c r="Q67" s="2028"/>
      <c r="R67" s="2028"/>
      <c r="S67" s="2028"/>
      <c r="T67" s="2028"/>
      <c r="U67" s="2028"/>
      <c r="V67" s="2028"/>
    </row>
    <row r="68" spans="1:22" ht="25.5" customHeight="1">
      <c r="A68" s="354"/>
      <c r="B68" s="3292" t="s">
        <v>393</v>
      </c>
      <c r="C68" s="3292"/>
      <c r="D68" s="355"/>
      <c r="E68" s="77"/>
      <c r="F68" s="356"/>
      <c r="G68" s="3348"/>
      <c r="H68" s="311"/>
      <c r="I68" s="1291"/>
      <c r="J68" s="2035"/>
      <c r="K68" s="1976">
        <v>3</v>
      </c>
      <c r="L68" s="3358" t="s">
        <v>392</v>
      </c>
      <c r="M68" s="3358"/>
      <c r="N68" s="1292">
        <f ca="1">C42</f>
        <v>1862</v>
      </c>
      <c r="O68" s="1292"/>
      <c r="P68" s="1292"/>
      <c r="Q68" s="2028"/>
      <c r="R68" s="2028"/>
      <c r="S68" s="2028"/>
      <c r="T68" s="2028"/>
      <c r="U68" s="2028"/>
      <c r="V68" s="2028"/>
    </row>
    <row r="69" spans="1:22" ht="12" customHeight="1">
      <c r="A69" s="357"/>
      <c r="B69" s="3292" t="s">
        <v>394</v>
      </c>
      <c r="C69" s="3292"/>
      <c r="D69" s="358"/>
      <c r="E69" s="73"/>
      <c r="F69" s="356"/>
      <c r="G69" s="3349"/>
      <c r="H69" s="311"/>
      <c r="I69" s="1291"/>
      <c r="J69" s="2035"/>
      <c r="K69" s="1293">
        <v>4</v>
      </c>
      <c r="L69" s="3363" t="s">
        <v>2885</v>
      </c>
      <c r="M69" s="3364"/>
      <c r="N69" s="1294" t="str">
        <f>C44</f>
        <v>——</v>
      </c>
      <c r="O69" s="1294"/>
      <c r="P69" s="1294"/>
      <c r="Q69" s="2028"/>
      <c r="R69" s="2028"/>
      <c r="S69" s="2028"/>
      <c r="T69" s="2028"/>
      <c r="U69" s="2028"/>
      <c r="V69" s="2028"/>
    </row>
    <row r="70" spans="1:22" ht="24" customHeight="1">
      <c r="A70" s="359" t="s">
        <v>395</v>
      </c>
      <c r="B70" s="3292" t="s">
        <v>396</v>
      </c>
      <c r="C70" s="3292"/>
      <c r="D70" s="358">
        <f ca="1">ROUND(D63*'数据-取费表'!B41/(1+'数据-取费表'!C42),0)</f>
        <v>56</v>
      </c>
      <c r="E70" s="17" t="s">
        <v>397</v>
      </c>
      <c r="F70" s="360">
        <f>'数据-取费表'!B41</f>
        <v>5.3000000000000005E-2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293" t="s">
        <v>404</v>
      </c>
      <c r="C71" s="3294"/>
      <c r="D71" s="358">
        <f ca="1">ROUND(D63*'数据-取费表'!B41/(1+'数据-取费表'!C42),0)</f>
        <v>56</v>
      </c>
      <c r="E71" s="17" t="s">
        <v>397</v>
      </c>
      <c r="F71" s="360">
        <f>'数据-取费表'!B41</f>
        <v>5.3000000000000005E-2</v>
      </c>
      <c r="G71" s="361"/>
      <c r="H71" s="311"/>
      <c r="I71" s="1291"/>
      <c r="J71" s="2035"/>
      <c r="K71" s="3061" t="s">
        <v>398</v>
      </c>
      <c r="L71" s="3365" t="s">
        <v>399</v>
      </c>
      <c r="M71" s="3365"/>
      <c r="N71" s="3061" t="s">
        <v>400</v>
      </c>
      <c r="O71" s="3061" t="s">
        <v>401</v>
      </c>
      <c r="P71" s="3061" t="s">
        <v>402</v>
      </c>
      <c r="Q71" s="2028"/>
      <c r="R71" s="2028"/>
      <c r="S71" s="2028"/>
      <c r="T71" s="2028"/>
      <c r="U71" s="2028"/>
      <c r="V71" s="2028"/>
    </row>
    <row r="72" spans="1:22" ht="12" customHeight="1">
      <c r="A72" s="359" t="s">
        <v>406</v>
      </c>
      <c r="B72" s="3293" t="s">
        <v>407</v>
      </c>
      <c r="C72" s="3294"/>
      <c r="D72" s="358">
        <f ca="1">C86</f>
        <v>0</v>
      </c>
      <c r="E72" s="73" t="s">
        <v>408</v>
      </c>
      <c r="F72" s="360">
        <f>'数据-取费表'!B41</f>
        <v>5.3000000000000005E-2</v>
      </c>
      <c r="G72" s="361"/>
      <c r="H72" s="1297"/>
      <c r="I72" s="1291"/>
      <c r="J72" s="2035"/>
      <c r="K72" s="1976">
        <v>1</v>
      </c>
      <c r="L72" s="3340" t="s">
        <v>405</v>
      </c>
      <c r="M72" s="3340"/>
      <c r="N72" s="1295">
        <f ca="1">D66</f>
        <v>56</v>
      </c>
      <c r="O72" s="1859" t="str">
        <f>E66</f>
        <v>销售额×税（费）率</v>
      </c>
      <c r="P72" s="1296">
        <f>F66</f>
        <v>5.3000000000000005E-2</v>
      </c>
      <c r="Q72" s="2028"/>
      <c r="R72" s="2028"/>
      <c r="S72" s="2028"/>
      <c r="T72" s="2028"/>
      <c r="U72" s="2028"/>
      <c r="V72" s="2028"/>
    </row>
    <row r="73" spans="1:22" ht="24" customHeight="1">
      <c r="A73" s="3334" t="s">
        <v>410</v>
      </c>
      <c r="B73" s="3302"/>
      <c r="C73" s="3302"/>
      <c r="D73" s="362">
        <f>IF(H73="个人住宅",0,ROUND(D63*I73,0))</f>
        <v>0</v>
      </c>
      <c r="E73" s="17" t="s">
        <v>411</v>
      </c>
      <c r="F73" s="360" t="str">
        <f>IF(H73="正常",I73,"免征")</f>
        <v>免征</v>
      </c>
      <c r="G73" s="361"/>
      <c r="H73" s="191" t="s">
        <v>2457</v>
      </c>
      <c r="I73" s="360">
        <f>'数据-取费表'!B49</f>
        <v>5.0000000000000001E-4</v>
      </c>
      <c r="J73" s="2035"/>
      <c r="K73" s="1976">
        <v>2</v>
      </c>
      <c r="L73" s="3340" t="s">
        <v>409</v>
      </c>
      <c r="M73" s="3340"/>
      <c r="N73" s="1295">
        <f t="shared" ref="N73:P74" si="1">D73</f>
        <v>0</v>
      </c>
      <c r="O73" s="1859" t="str">
        <f t="shared" si="1"/>
        <v>销售额×税（费）率</v>
      </c>
      <c r="P73" s="1296" t="str">
        <f t="shared" si="1"/>
        <v>免征</v>
      </c>
      <c r="Q73" s="2028"/>
      <c r="R73" s="2028"/>
      <c r="S73" s="2028"/>
      <c r="T73" s="2028"/>
      <c r="U73" s="2028"/>
      <c r="V73" s="2028"/>
    </row>
    <row r="74" spans="1:22" ht="24.75">
      <c r="A74" s="3334" t="s">
        <v>414</v>
      </c>
      <c r="B74" s="3302"/>
      <c r="C74" s="3302"/>
      <c r="D74" s="362">
        <f ca="1">IF(H74="个人住宅",D75,D76)</f>
        <v>114</v>
      </c>
      <c r="E74" s="17" t="s">
        <v>415</v>
      </c>
      <c r="F74" s="360" t="str">
        <f>IF(H74="正常",F76,"免征")</f>
        <v>——</v>
      </c>
      <c r="G74" s="982" t="s">
        <v>416</v>
      </c>
      <c r="H74" s="363" t="s">
        <v>412</v>
      </c>
      <c r="I74" s="42"/>
      <c r="J74" s="2035"/>
      <c r="K74" s="1976">
        <v>3</v>
      </c>
      <c r="L74" s="3340" t="s">
        <v>413</v>
      </c>
      <c r="M74" s="3340"/>
      <c r="N74" s="1295">
        <f t="shared" ca="1" si="1"/>
        <v>114</v>
      </c>
      <c r="O74" s="1859" t="str">
        <f t="shared" si="1"/>
        <v>增值额×税（费）率</v>
      </c>
      <c r="P74" s="1298" t="str">
        <f t="shared" si="1"/>
        <v>——</v>
      </c>
      <c r="Q74" s="2028"/>
      <c r="R74" s="2028"/>
      <c r="S74" s="2028"/>
      <c r="T74" s="2028"/>
      <c r="U74" s="2028"/>
      <c r="V74" s="2028"/>
    </row>
    <row r="75" spans="1:22" ht="24">
      <c r="A75" s="359" t="s">
        <v>417</v>
      </c>
      <c r="B75" s="3290" t="s">
        <v>418</v>
      </c>
      <c r="C75" s="3320"/>
      <c r="D75" s="364">
        <v>0</v>
      </c>
      <c r="E75" s="41" t="s">
        <v>419</v>
      </c>
      <c r="F75" s="365"/>
      <c r="G75" s="361"/>
      <c r="H75" s="42"/>
      <c r="I75" s="42"/>
      <c r="J75" s="2035"/>
      <c r="K75" s="3054">
        <f>IF(H77="非个人房产","",4)</f>
        <v>4</v>
      </c>
      <c r="L75" s="3340" t="str">
        <f>IF(H77="非个人房产","——","个人所得税")</f>
        <v>个人所得税</v>
      </c>
      <c r="M75" s="3340"/>
      <c r="N75" s="1299">
        <f ca="1">D77</f>
        <v>11</v>
      </c>
      <c r="O75" s="1872" t="str">
        <f>E77</f>
        <v>销售额×税（费）率</v>
      </c>
      <c r="P75" s="1300">
        <f>F77</f>
        <v>0.01</v>
      </c>
      <c r="Q75" s="2028"/>
      <c r="R75" s="2028"/>
      <c r="S75" s="2028"/>
      <c r="T75" s="2028"/>
      <c r="U75" s="2028"/>
      <c r="V75" s="2028"/>
    </row>
    <row r="76" spans="1:22" ht="24.75">
      <c r="A76" s="359" t="s">
        <v>395</v>
      </c>
      <c r="B76" s="3290" t="s">
        <v>421</v>
      </c>
      <c r="C76" s="3291"/>
      <c r="D76" s="362">
        <f ca="1">IF(H76="转让取得",C99,C115)</f>
        <v>114</v>
      </c>
      <c r="E76" s="17" t="s">
        <v>422</v>
      </c>
      <c r="F76" s="53" t="s">
        <v>21</v>
      </c>
      <c r="G76" s="361"/>
      <c r="H76" s="363" t="s">
        <v>423</v>
      </c>
      <c r="I76" s="42"/>
      <c r="J76" s="2035"/>
      <c r="K76" s="3054" t="str">
        <f>IF(项目基本情况!K6="上海银行",IF(K75="",4,K75+1),"")</f>
        <v/>
      </c>
      <c r="L76" s="3351" t="str">
        <f>IF(项目基本情况!K6="上海银行","其他处置费用","")</f>
        <v/>
      </c>
      <c r="M76" s="3352"/>
      <c r="N76" s="1295" t="str">
        <f>IF(项目基本情况!K6="上海银行",N89,"")</f>
        <v/>
      </c>
      <c r="O76" s="3353" t="str">
        <f>IF(项目基本情况!K6="上海银行","包含处置中涉及的律师、诉讼、拍卖、评估等费用","")</f>
        <v/>
      </c>
      <c r="P76" s="3354"/>
      <c r="Q76" s="2028"/>
      <c r="R76" s="2028"/>
      <c r="S76" s="2028"/>
      <c r="T76" s="2028"/>
      <c r="U76" s="2028"/>
      <c r="V76" s="2028"/>
    </row>
    <row r="77" spans="1:22" ht="26.25" thickBot="1">
      <c r="A77" s="3342" t="s">
        <v>425</v>
      </c>
      <c r="B77" s="3343"/>
      <c r="C77" s="3343"/>
      <c r="D77" s="366">
        <f ca="1">IF(H77="非个人房产","——",IF(H77="个人住宅",0,ROUND(D63*I77,0)))</f>
        <v>11</v>
      </c>
      <c r="E77" s="367" t="str">
        <f>IF(H77="非个人房产","——","销售额×税（费）率")</f>
        <v>销售额×税（费）率</v>
      </c>
      <c r="F77" s="368">
        <f>IF(H77="非个人房产","——",IF(H77="个人住宅","免征",I77))</f>
        <v>0.01</v>
      </c>
      <c r="G77" s="983" t="s">
        <v>416</v>
      </c>
      <c r="H77" s="363" t="s">
        <v>2886</v>
      </c>
      <c r="I77" s="369">
        <v>0.01</v>
      </c>
      <c r="J77" s="2035"/>
      <c r="K77" s="3341">
        <f>IF(AND(K75="",K76=""),4,IF(项目基本情况!K6="上海银行",K76+1,K75+1))</f>
        <v>5</v>
      </c>
      <c r="L77" s="3340" t="s">
        <v>2887</v>
      </c>
      <c r="M77" s="3060" t="s">
        <v>420</v>
      </c>
      <c r="N77" s="1301"/>
      <c r="O77" s="1302">
        <f ca="1">SUMIF(N72:N76,"&lt;9e307")</f>
        <v>181</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41"/>
      <c r="L78" s="3340"/>
      <c r="M78" s="3060" t="s">
        <v>424</v>
      </c>
      <c r="N78" s="1301"/>
      <c r="O78" s="1302" t="str">
        <f ca="1">NUMBERSTRING(INT(O77*10000),2)&amp;"元整"</f>
        <v>壹佰捌拾壹万元整</v>
      </c>
      <c r="P78" s="1303"/>
      <c r="Q78" s="2028"/>
      <c r="R78" s="2028"/>
      <c r="S78" s="2028"/>
      <c r="T78" s="2028"/>
      <c r="U78" s="2028"/>
      <c r="V78" s="2028"/>
    </row>
    <row r="79" spans="1:22" ht="13.5" thickBot="1">
      <c r="A79" s="3335" t="s">
        <v>426</v>
      </c>
      <c r="B79" s="3335"/>
      <c r="C79" s="3335"/>
      <c r="D79" s="3335"/>
      <c r="E79" s="3335"/>
      <c r="F79" s="42"/>
      <c r="G79" s="42"/>
      <c r="H79" s="1002"/>
      <c r="I79" s="311"/>
      <c r="J79" s="2035"/>
      <c r="K79" s="3361">
        <f>K77+1</f>
        <v>6</v>
      </c>
      <c r="L79" s="3340" t="s">
        <v>2888</v>
      </c>
      <c r="M79" s="3060" t="s">
        <v>420</v>
      </c>
      <c r="N79" s="1301"/>
      <c r="O79" s="1302" t="e">
        <f ca="1">N69-O77</f>
        <v>#VALUE!</v>
      </c>
      <c r="P79" s="1303"/>
      <c r="Q79" s="2028"/>
      <c r="R79" s="2028"/>
      <c r="S79" s="2028"/>
      <c r="T79" s="2028"/>
      <c r="U79" s="2028"/>
      <c r="V79" s="2028"/>
    </row>
    <row r="80" spans="1:22" ht="12.75">
      <c r="A80" s="3330" t="s">
        <v>427</v>
      </c>
      <c r="B80" s="3331"/>
      <c r="C80" s="993"/>
      <c r="D80" s="993" t="s">
        <v>428</v>
      </c>
      <c r="E80" s="370" t="s">
        <v>429</v>
      </c>
      <c r="F80" s="42"/>
      <c r="G80" s="42"/>
      <c r="H80" s="1002"/>
      <c r="I80" s="311"/>
      <c r="J80" s="2028"/>
      <c r="K80" s="3362"/>
      <c r="L80" s="3340"/>
      <c r="M80" s="3060"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1064</v>
      </c>
      <c r="D81" s="373"/>
      <c r="E81" s="374"/>
      <c r="F81" s="42"/>
      <c r="G81" s="42"/>
      <c r="H81" s="1002"/>
      <c r="I81" s="311"/>
      <c r="J81" s="2028"/>
      <c r="K81" s="3054">
        <f>K79+1</f>
        <v>7</v>
      </c>
      <c r="L81" s="3338" t="s">
        <v>2889</v>
      </c>
      <c r="M81" s="3339"/>
      <c r="N81" s="1305"/>
      <c r="O81" s="1306" t="e">
        <f ca="1">ROUND(O79*10000/'数据-汇总表'!E3,0)</f>
        <v>#VALUE!</v>
      </c>
      <c r="P81" s="1307"/>
      <c r="Q81" s="2028"/>
      <c r="R81" s="2028"/>
      <c r="S81" s="2028"/>
      <c r="T81" s="2028"/>
      <c r="U81" s="2028"/>
      <c r="V81" s="2028"/>
    </row>
    <row r="82" spans="1:26" ht="13.5" thickTop="1">
      <c r="A82" s="375" t="s">
        <v>1824</v>
      </c>
      <c r="B82" s="376" t="s">
        <v>431</v>
      </c>
      <c r="C82" s="377">
        <f ca="1">D63</f>
        <v>1117</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350"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1" t="s">
        <v>1826</v>
      </c>
      <c r="B84" s="382" t="s">
        <v>433</v>
      </c>
      <c r="C84" s="383">
        <v>2000</v>
      </c>
      <c r="D84" s="384" t="s">
        <v>19</v>
      </c>
      <c r="E84" s="3101" t="s">
        <v>2946</v>
      </c>
      <c r="F84" s="42"/>
      <c r="G84" s="42"/>
      <c r="H84" s="1002"/>
      <c r="I84" s="311"/>
      <c r="J84" s="2028"/>
      <c r="K84" s="3350"/>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-936</v>
      </c>
      <c r="D85" s="378" t="s">
        <v>19</v>
      </c>
      <c r="E85" s="379"/>
      <c r="F85" s="42"/>
      <c r="G85" s="42"/>
      <c r="H85" s="1002"/>
      <c r="I85" s="311"/>
      <c r="J85" s="2028"/>
      <c r="K85" s="3350"/>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0</v>
      </c>
      <c r="D86" s="389">
        <f>'数据-取费表'!B41</f>
        <v>5.3000000000000005E-2</v>
      </c>
      <c r="E86" s="390"/>
      <c r="F86" s="42"/>
      <c r="G86" s="42"/>
      <c r="H86" s="1002"/>
      <c r="I86" s="311"/>
      <c r="J86" s="2028"/>
      <c r="K86" s="3350"/>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50"/>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5" thickBot="1">
      <c r="A88" s="3332" t="s">
        <v>436</v>
      </c>
      <c r="B88" s="3333"/>
      <c r="C88" s="3333"/>
      <c r="D88" s="3333"/>
      <c r="E88" s="3333"/>
      <c r="F88" s="3333"/>
      <c r="G88" s="3333"/>
      <c r="H88" s="3333"/>
      <c r="I88" s="1314"/>
      <c r="J88" s="2036"/>
      <c r="K88" s="3350"/>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4.25">
      <c r="A89" s="3330" t="s">
        <v>427</v>
      </c>
      <c r="B89" s="3331"/>
      <c r="C89" s="993"/>
      <c r="D89" s="993" t="s">
        <v>428</v>
      </c>
      <c r="E89" s="391" t="s">
        <v>437</v>
      </c>
      <c r="F89" s="392"/>
      <c r="G89" s="392"/>
      <c r="H89" s="393"/>
      <c r="I89" s="1315"/>
      <c r="J89" s="2038"/>
      <c r="K89" s="3350"/>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1064</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2564</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293" t="s">
        <v>446</v>
      </c>
      <c r="F94" s="3292"/>
      <c r="G94" s="3292"/>
      <c r="H94" s="3329"/>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3</v>
      </c>
      <c r="D96" s="406">
        <f>'数据-取费表'!B43</f>
        <v>3.0000000000000001E-3</v>
      </c>
      <c r="E96" s="3321" t="s">
        <v>2430</v>
      </c>
      <c r="F96" s="3322"/>
      <c r="G96" s="3322"/>
      <c r="H96" s="3323"/>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-1500</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2" t="s">
        <v>453</v>
      </c>
      <c r="B101" s="3333"/>
      <c r="C101" s="3333"/>
      <c r="D101" s="3333"/>
      <c r="E101" s="3333"/>
      <c r="F101" s="3333"/>
      <c r="G101" s="3333"/>
      <c r="H101" s="3333"/>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0" t="s">
        <v>427</v>
      </c>
      <c r="B102" s="3331"/>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1064</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693</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24" t="s">
        <v>461</v>
      </c>
      <c r="F109" s="3322"/>
      <c r="G109" s="3322"/>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24" t="s">
        <v>463</v>
      </c>
      <c r="F110" s="3322"/>
      <c r="G110" s="3322"/>
      <c r="H110" s="3323"/>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3</v>
      </c>
      <c r="D111" s="406">
        <f>'数据-取费表'!B43</f>
        <v>3.0000000000000001E-3</v>
      </c>
      <c r="E111" s="3321" t="s">
        <v>2430</v>
      </c>
      <c r="F111" s="3322"/>
      <c r="G111" s="3322"/>
      <c r="H111" s="3323"/>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24" t="s">
        <v>2455</v>
      </c>
      <c r="F112" s="3322"/>
      <c r="G112" s="3322"/>
      <c r="H112" s="3323"/>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371</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0.53535353535353536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114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3" stopIfTrue="1" operator="equal">
      <formula>25</formula>
    </cfRule>
  </conditionalFormatting>
  <conditionalFormatting sqref="C8:C9">
    <cfRule type="cellIs" dxfId="144" priority="21" stopIfTrue="1" operator="equal">
      <formula>15</formula>
    </cfRule>
  </conditionalFormatting>
  <conditionalFormatting sqref="D5:D7">
    <cfRule type="cellIs" dxfId="143" priority="12" stopIfTrue="1" operator="equal">
      <formula>25</formula>
    </cfRule>
  </conditionalFormatting>
  <conditionalFormatting sqref="D8:D9">
    <cfRule type="cellIs" dxfId="142" priority="11" stopIfTrue="1" operator="equal">
      <formula>15</formula>
    </cfRule>
  </conditionalFormatting>
  <conditionalFormatting sqref="C10:D13">
    <cfRule type="cellIs" dxfId="141" priority="10" stopIfTrue="1" operator="equal">
      <formula>15</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4" sqref="C3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4070</v>
      </c>
      <c r="C2" s="2104"/>
      <c r="D2" s="2104"/>
      <c r="E2" s="2104"/>
      <c r="F2" s="2104"/>
      <c r="G2" s="2104"/>
      <c r="H2" s="2104"/>
      <c r="I2" s="2104"/>
      <c r="J2" s="2104"/>
      <c r="K2" s="2104"/>
    </row>
    <row r="3" spans="1:31" s="2041" customFormat="1" ht="18" customHeight="1">
      <c r="A3" s="2106" t="s">
        <v>1684</v>
      </c>
      <c r="B3" s="2107">
        <f ca="1">ROUND(B2*10000/IF(B1="",'数据-汇总表'!E3,INDIRECT("'数据-取费表'!K"&amp;$K$1)),0)</f>
        <v>5128</v>
      </c>
      <c r="C3" s="2104"/>
      <c r="D3" s="2104"/>
      <c r="E3" s="2104"/>
      <c r="F3" s="2104"/>
      <c r="G3" s="2104"/>
      <c r="H3" s="2104"/>
      <c r="I3" s="2104"/>
      <c r="J3" s="2104"/>
      <c r="K3" s="2104"/>
    </row>
    <row r="4" spans="1:31" s="2041" customFormat="1" ht="18" customHeight="1">
      <c r="A4" s="426" t="s">
        <v>467</v>
      </c>
      <c r="B4" s="427">
        <f ca="1">ROUND(B2*10000/IF(B1="",'数据-汇总表'!D3,INDIRECT("'数据-取费表'!R"&amp;$K$1)),0)</f>
        <v>6154</v>
      </c>
      <c r="C4" s="428"/>
      <c r="D4" s="422"/>
      <c r="E4" s="422"/>
      <c r="F4" s="422"/>
      <c r="G4" s="422"/>
      <c r="H4" s="422"/>
      <c r="I4" s="422"/>
      <c r="J4" s="422"/>
      <c r="K4" s="422"/>
    </row>
    <row r="5" spans="1:31" s="2041" customFormat="1" ht="18" customHeight="1" thickBot="1">
      <c r="A5" s="429"/>
      <c r="B5" s="430">
        <f ca="1">ROUND(B2/(IF(B1="",'数据-汇总表'!D3,INDIRECT("'数据-取费表'!R"&amp;$K$1))/666.67),0)</f>
        <v>410</v>
      </c>
      <c r="C5" s="431" t="s">
        <v>468</v>
      </c>
      <c r="D5" s="422"/>
      <c r="E5" s="422"/>
      <c r="F5" s="422"/>
      <c r="G5" s="422"/>
      <c r="H5" s="422"/>
      <c r="I5" s="422"/>
      <c r="J5" s="422"/>
      <c r="K5" s="422"/>
    </row>
    <row r="6" spans="1:31" s="2111" customFormat="1" ht="16.5" customHeight="1">
      <c r="A6" s="2828" t="s">
        <v>1842</v>
      </c>
      <c r="B6" s="2829"/>
      <c r="C6" s="2830">
        <f ca="1">SUM(C10:K10)</f>
        <v>10338.68663</v>
      </c>
      <c r="D6" s="2829"/>
      <c r="E6" s="2829"/>
      <c r="F6" s="2829"/>
      <c r="G6" s="2829"/>
      <c r="H6" s="2829"/>
      <c r="I6" s="2829"/>
      <c r="J6" s="2829"/>
      <c r="K6" s="2831"/>
    </row>
    <row r="7" spans="1:31" s="2113" customFormat="1" ht="15">
      <c r="A7" s="2832" t="s">
        <v>469</v>
      </c>
      <c r="B7" s="2833" t="s">
        <v>470</v>
      </c>
      <c r="C7" s="436" t="s">
        <v>3164</v>
      </c>
      <c r="D7" s="436" t="s">
        <v>3166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13694.1</v>
      </c>
      <c r="D8" s="2834">
        <f ca="1">不动产收益法!B3</f>
        <v>7015</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7143</v>
      </c>
      <c r="D9" s="441">
        <f>SUMIF('数据-汇总表'!$C19:$C33,'剩余法-待开发'!D7,'数据-汇总表'!$E19:$E33)</f>
        <v>794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C8*C9/10000</f>
        <v>9781.6956300000002</v>
      </c>
      <c r="D10" s="3029">
        <f ca="1">D8*D9/10000</f>
        <v>556.99099999999999</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1985</v>
      </c>
      <c r="D13" s="2844"/>
      <c r="E13" s="2845"/>
      <c r="F13" s="2846"/>
      <c r="G13" s="2812"/>
      <c r="H13" s="2813"/>
      <c r="I13" s="2813"/>
      <c r="J13" s="2813"/>
      <c r="K13" s="2814"/>
    </row>
    <row r="14" spans="1:31" s="2116" customFormat="1" ht="13.5" customHeight="1">
      <c r="A14" s="2842" t="s">
        <v>1849</v>
      </c>
      <c r="B14" s="2843" t="s">
        <v>479</v>
      </c>
      <c r="C14" s="53">
        <f ca="1">ROUND(C13*F14,0)</f>
        <v>99</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89</v>
      </c>
      <c r="D15" s="2844"/>
      <c r="E15" s="2845"/>
      <c r="F15" s="2847">
        <f>'数据-取费表'!B34</f>
        <v>0.05</v>
      </c>
      <c r="G15" s="2812" t="s">
        <v>482</v>
      </c>
      <c r="H15" s="2813"/>
      <c r="I15" s="2813"/>
      <c r="J15" s="2813"/>
      <c r="K15" s="2814"/>
    </row>
    <row r="16" spans="1:31" s="2117" customFormat="1" ht="13.5" customHeight="1">
      <c r="A16" s="2842" t="s">
        <v>1851</v>
      </c>
      <c r="B16" s="2843" t="s">
        <v>483</v>
      </c>
      <c r="C16" s="53">
        <f ca="1">ROUND(D16*E16/10000,0)</f>
        <v>397</v>
      </c>
      <c r="D16" s="2844">
        <f ca="1">IF(B1="",'数据-汇总表'!E3,INDIRECT("'数据-取费表'!K"&amp;$K$1)+INDIRECT("'数据-取费表'!S"&amp;$K$1))</f>
        <v>7937</v>
      </c>
      <c r="E16" s="53">
        <f>'数据-取费表'!B35</f>
        <v>500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30</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2600</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7937</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83</v>
      </c>
      <c r="D20" s="2854"/>
      <c r="E20" s="2808"/>
      <c r="F20" s="2855"/>
      <c r="G20" s="3089"/>
      <c r="H20" s="2810"/>
      <c r="I20" s="2811" t="s">
        <v>2653</v>
      </c>
      <c r="J20" s="2817"/>
      <c r="K20" s="2818"/>
    </row>
    <row r="21" spans="1:14" s="2116" customFormat="1" ht="13.5" customHeight="1">
      <c r="A21" s="2842" t="s">
        <v>1856</v>
      </c>
      <c r="B21" s="2843" t="s">
        <v>490</v>
      </c>
      <c r="C21" s="53">
        <f ca="1">ROUND(D21*E21/10000,0)</f>
        <v>75</v>
      </c>
      <c r="D21" s="2844">
        <f ca="1">IF(B1="",'数据-汇总表'!E5,IF(INDIRECT("'数据-取费表'!c"&amp;$K$1)="住宅",INDIRECT("'数据-取费表'!k"&amp;$K$1),0))</f>
        <v>7143</v>
      </c>
      <c r="E21" s="53">
        <f>'数据-取费表'!B27</f>
        <v>105</v>
      </c>
      <c r="F21" s="2847"/>
      <c r="G21" s="26"/>
      <c r="H21" s="51"/>
      <c r="I21" s="51"/>
      <c r="J21" s="51"/>
      <c r="K21" s="2819"/>
    </row>
    <row r="22" spans="1:14" s="2116" customFormat="1" ht="13.5" customHeight="1">
      <c r="A22" s="2842" t="s">
        <v>1857</v>
      </c>
      <c r="B22" s="2843" t="s">
        <v>491</v>
      </c>
      <c r="C22" s="53">
        <f ca="1">ROUND(D22*E22/10000,0)</f>
        <v>8</v>
      </c>
      <c r="D22" s="2844">
        <f ca="1">IF(B1="",'数据-汇总表'!E6,IF(INDIRECT("'数据-取费表'!c"&amp;$K$1)="住宅",INDIRECT("'数据-取费表'!s"&amp;$K$1),INDIRECT("'数据-取费表'!k"&amp;$K$1)+INDIRECT("'数据-取费表'!s"&amp;$K$1)))</f>
        <v>794</v>
      </c>
      <c r="E22" s="53">
        <f>'数据-取费表'!B28</f>
        <v>105</v>
      </c>
      <c r="F22" s="2847"/>
      <c r="G22" s="26"/>
      <c r="H22" s="51"/>
      <c r="I22" s="51"/>
      <c r="J22" s="51"/>
      <c r="K22" s="2819"/>
    </row>
    <row r="23" spans="1:14" s="2116" customFormat="1" ht="13.5" customHeight="1">
      <c r="A23" s="2850" t="s">
        <v>1858</v>
      </c>
      <c r="B23" s="3035" t="s">
        <v>2836</v>
      </c>
      <c r="C23" s="2852">
        <f ca="1">ROUND((C18+C19+C20)*F23,0)</f>
        <v>54</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310</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220</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220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522</v>
      </c>
      <c r="D29" s="468"/>
      <c r="E29" s="468"/>
      <c r="F29" s="3037">
        <f>'数据-取费表'!B41</f>
        <v>5.3000000000000005E-2</v>
      </c>
      <c r="G29" s="2821" t="s">
        <v>497</v>
      </c>
      <c r="H29" s="2813"/>
      <c r="I29" s="2813"/>
      <c r="J29" s="2813"/>
      <c r="K29" s="2814"/>
    </row>
    <row r="30" spans="1:14" s="2121" customFormat="1" ht="13.5" customHeight="1">
      <c r="A30" s="1634" t="s">
        <v>1863</v>
      </c>
      <c r="B30" s="2862" t="s">
        <v>499</v>
      </c>
      <c r="C30" s="2857">
        <f ca="1">C31</f>
        <v>3789</v>
      </c>
      <c r="D30" s="477">
        <f ca="1">C32</f>
        <v>0.1827</v>
      </c>
      <c r="E30" s="469" t="s">
        <v>494</v>
      </c>
      <c r="F30" s="471"/>
      <c r="G30" s="2820" t="s">
        <v>2978</v>
      </c>
      <c r="H30" s="2813"/>
      <c r="I30" s="2813"/>
      <c r="J30" s="2813"/>
      <c r="K30" s="2814"/>
    </row>
    <row r="31" spans="1:14" s="2120" customFormat="1" ht="13.5" customHeight="1">
      <c r="A31" s="803" t="s">
        <v>1856</v>
      </c>
      <c r="B31" s="2858"/>
      <c r="C31" s="450">
        <f ca="1">C18+C19+C20+C23+C24+C26+C29</f>
        <v>3789</v>
      </c>
      <c r="D31" s="472"/>
      <c r="E31" s="473"/>
      <c r="F31" s="474"/>
      <c r="G31" s="261"/>
      <c r="H31" s="2815"/>
      <c r="I31" s="2815"/>
      <c r="J31" s="2815"/>
      <c r="K31" s="279"/>
    </row>
    <row r="32" spans="1:14" s="2120" customFormat="1" ht="13.5" customHeight="1">
      <c r="A32" s="803" t="s">
        <v>1857</v>
      </c>
      <c r="B32" s="2858"/>
      <c r="C32" s="53">
        <f ca="1">ROUND(C25+D26,4)</f>
        <v>0.1827</v>
      </c>
      <c r="D32" s="472"/>
      <c r="E32" s="473"/>
      <c r="F32" s="474"/>
      <c r="G32" s="261"/>
      <c r="H32" s="2815"/>
      <c r="I32" s="2815"/>
      <c r="J32" s="2815"/>
      <c r="K32" s="279"/>
    </row>
    <row r="33" spans="1:11" s="2122" customFormat="1" ht="13.5" customHeight="1">
      <c r="A33" s="3034" t="s">
        <v>2835</v>
      </c>
      <c r="B33" s="3032" t="s">
        <v>2833</v>
      </c>
      <c r="C33" s="478">
        <f ca="1">C35</f>
        <v>731</v>
      </c>
      <c r="D33" s="467">
        <f ca="1">C34</f>
        <v>0.247</v>
      </c>
      <c r="E33" s="469" t="s">
        <v>494</v>
      </c>
      <c r="F33" s="479">
        <f ca="1">IF(B1="",'数据-取费表'!Q16,INDIRECT("'数据-取费表'!q"&amp;$K$1))</f>
        <v>0.24</v>
      </c>
      <c r="G33" s="2816"/>
      <c r="H33" s="2817"/>
      <c r="I33" s="2817"/>
      <c r="J33" s="2817"/>
      <c r="K33" s="2818"/>
    </row>
    <row r="34" spans="1:11" s="2123" customFormat="1" ht="13.5" customHeight="1">
      <c r="A34" s="375" t="s">
        <v>1856</v>
      </c>
      <c r="B34" s="2863" t="s">
        <v>500</v>
      </c>
      <c r="C34" s="472">
        <f ca="1">ROUND((1+C25)*F33,4)</f>
        <v>0.247</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731</v>
      </c>
      <c r="D35" s="1628"/>
      <c r="E35" s="2864"/>
      <c r="F35" s="1629"/>
      <c r="G35" s="2822"/>
      <c r="H35" s="2823"/>
      <c r="I35" s="2823"/>
      <c r="J35" s="2823"/>
      <c r="K35" s="2824"/>
    </row>
    <row r="36" spans="1:11" s="2085" customFormat="1" ht="13.5" customHeight="1" thickBot="1">
      <c r="A36" s="284" t="s">
        <v>1844</v>
      </c>
      <c r="B36" s="2826"/>
      <c r="C36" s="2865">
        <f ca="1">ROUND((C6-C30-C33)/(1+D30+D33),0)</f>
        <v>4070</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1985</v>
      </c>
      <c r="D13" s="451"/>
      <c r="E13" s="365"/>
      <c r="F13" s="452"/>
      <c r="G13" s="444"/>
      <c r="H13" s="447"/>
      <c r="I13" s="447"/>
      <c r="J13" s="447"/>
      <c r="K13" s="448"/>
    </row>
    <row r="14" spans="1:41" s="2116" customFormat="1" ht="13.5" customHeight="1">
      <c r="A14" s="1632" t="s">
        <v>1849</v>
      </c>
      <c r="B14" s="449" t="s">
        <v>479</v>
      </c>
      <c r="C14" s="53">
        <f ca="1">ROUND(C13*F14,0)</f>
        <v>99</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89</v>
      </c>
      <c r="D15" s="451"/>
      <c r="E15" s="365"/>
      <c r="F15" s="453">
        <f>'数据-取费表'!B34</f>
        <v>0.05</v>
      </c>
      <c r="G15" s="444" t="s">
        <v>501</v>
      </c>
      <c r="H15" s="447"/>
      <c r="I15" s="447"/>
      <c r="J15" s="447"/>
      <c r="K15" s="448"/>
    </row>
    <row r="16" spans="1:41" s="2117" customFormat="1" ht="13.5" customHeight="1">
      <c r="A16" s="1632" t="s">
        <v>1851</v>
      </c>
      <c r="B16" s="449" t="s">
        <v>483</v>
      </c>
      <c r="C16" s="53">
        <f ca="1">ROUND(D16*E16/10000,0)</f>
        <v>397</v>
      </c>
      <c r="D16" s="451">
        <f ca="1">IF(B1="",'数据-汇总表'!E3,INDIRECT("'数据-取费表'!K"&amp;$K$1)+INDIRECT("'数据-取费表'!S"&amp;$K$1))</f>
        <v>7937</v>
      </c>
      <c r="E16" s="53">
        <f>'数据-取费表'!B35</f>
        <v>500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30</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2600</v>
      </c>
      <c r="D18" s="461"/>
      <c r="E18" s="462"/>
      <c r="F18" s="462"/>
      <c r="G18" s="1326" t="s">
        <v>2434</v>
      </c>
      <c r="H18" s="447"/>
      <c r="I18" s="447"/>
      <c r="J18" s="447"/>
      <c r="K18" s="448"/>
    </row>
    <row r="19" spans="1:14" s="2119" customFormat="1" ht="13.5" customHeight="1">
      <c r="A19" s="1633" t="s">
        <v>1854</v>
      </c>
      <c r="B19" s="459" t="s">
        <v>492</v>
      </c>
      <c r="C19" s="460">
        <f ca="1">ROUND(C18*F19,0)</f>
        <v>52</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191</v>
      </c>
      <c r="D21" s="467">
        <f ca="1">C23</f>
        <v>2.2000000000000001E-3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191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2.2000000000000001E-3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636</v>
      </c>
      <c r="D24" s="489">
        <f ca="1">C26</f>
        <v>7.1999999999999998E-3</v>
      </c>
      <c r="E24" s="469" t="s">
        <v>506</v>
      </c>
      <c r="F24" s="479">
        <f ca="1">IF(B1="",'数据-取费表'!Q16,INDIRECT("'数据-取费表'!q"&amp;$K$1))</f>
        <v>0.24</v>
      </c>
      <c r="G24" s="444"/>
      <c r="H24" s="447"/>
      <c r="I24" s="447"/>
      <c r="J24" s="447"/>
      <c r="K24" s="448"/>
    </row>
    <row r="25" spans="1:14" s="2120" customFormat="1" ht="13.5" customHeight="1">
      <c r="A25" s="1632" t="s">
        <v>1848</v>
      </c>
      <c r="B25" s="1327" t="s">
        <v>2438</v>
      </c>
      <c r="C25" s="490">
        <f ca="1">ROUND((C18+C19)*F24,0)</f>
        <v>636</v>
      </c>
      <c r="D25" s="472"/>
      <c r="E25" s="473"/>
      <c r="F25" s="480"/>
      <c r="G25" s="1325" t="s">
        <v>2435</v>
      </c>
      <c r="H25" s="457"/>
      <c r="I25" s="457"/>
      <c r="J25" s="457"/>
      <c r="K25" s="458"/>
    </row>
    <row r="26" spans="1:14" s="2120" customFormat="1" ht="13.5" customHeight="1">
      <c r="A26" s="1632" t="s">
        <v>1849</v>
      </c>
      <c r="B26" s="1327" t="s">
        <v>508</v>
      </c>
      <c r="C26" s="491">
        <f ca="1">ROUND(F20*F24,4)</f>
        <v>7.1999999999999998E-3</v>
      </c>
      <c r="D26" s="472"/>
      <c r="E26" s="481"/>
      <c r="F26" s="480"/>
      <c r="G26" s="1325" t="s">
        <v>509</v>
      </c>
      <c r="H26" s="457"/>
      <c r="I26" s="457"/>
      <c r="J26" s="457"/>
      <c r="K26" s="458"/>
    </row>
    <row r="27" spans="1:14" s="2120" customFormat="1" ht="13.5" customHeight="1">
      <c r="A27" s="1636" t="s">
        <v>1867</v>
      </c>
      <c r="B27" s="459" t="s">
        <v>510</v>
      </c>
      <c r="C27" s="3031">
        <f>ROUND(F27/(1+'数据-取费表'!C42),4)</f>
        <v>5.0500000000000003E-2</v>
      </c>
      <c r="D27" s="462" t="s">
        <v>2832</v>
      </c>
      <c r="E27" s="462"/>
      <c r="F27" s="466">
        <f>'数据-取费表'!B41</f>
        <v>5.3000000000000005E-2</v>
      </c>
      <c r="G27" s="1960" t="s">
        <v>2293</v>
      </c>
      <c r="H27" s="447"/>
      <c r="I27" s="447"/>
      <c r="J27" s="447"/>
      <c r="K27" s="448"/>
    </row>
    <row r="28" spans="1:14" s="2121" customFormat="1" ht="13.5" customHeight="1">
      <c r="A28" s="1636" t="s">
        <v>1868</v>
      </c>
      <c r="B28" s="476" t="s">
        <v>511</v>
      </c>
      <c r="C28" s="470">
        <f ca="1">ROUND((C18+C19+C21+C24)/(1-C20-D21-D24-C27),0)</f>
        <v>3823</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5.3000000000000005E-2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1" t="str">
        <f>项目基本情况!B1</f>
        <v>出让国有建设用地使用权抵押价格预评估</v>
      </c>
      <c r="C37" s="3201"/>
      <c r="D37" s="3201"/>
      <c r="E37" s="3201"/>
      <c r="F37" s="3201"/>
      <c r="G37" s="3201"/>
      <c r="H37" s="3201"/>
      <c r="I37" s="3201"/>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E7" sqref="E7:F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1017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1281</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1538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103</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375" t="s">
        <v>521</v>
      </c>
      <c r="D6" s="3376"/>
      <c r="E6" s="3375" t="s">
        <v>522</v>
      </c>
      <c r="F6" s="3376"/>
      <c r="G6" s="3375" t="s">
        <v>523</v>
      </c>
      <c r="H6" s="3376"/>
      <c r="I6" s="3375" t="s">
        <v>524</v>
      </c>
      <c r="J6" s="3376"/>
      <c r="K6" s="514" t="s">
        <v>525</v>
      </c>
      <c r="L6" s="2133"/>
      <c r="M6" s="2132"/>
      <c r="N6" s="2132"/>
      <c r="O6" s="2134"/>
      <c r="P6" s="3377" t="s">
        <v>526</v>
      </c>
      <c r="Q6" s="3378"/>
      <c r="R6" s="3383" t="s">
        <v>522</v>
      </c>
      <c r="S6" s="3384"/>
      <c r="T6" s="3383" t="s">
        <v>523</v>
      </c>
      <c r="U6" s="3384"/>
      <c r="V6" s="3370" t="s">
        <v>524</v>
      </c>
      <c r="W6" s="3370"/>
      <c r="X6" s="1566"/>
      <c r="Y6" s="3383" t="s">
        <v>526</v>
      </c>
      <c r="Z6" s="3384"/>
      <c r="AA6" s="3372" t="s">
        <v>522</v>
      </c>
      <c r="AB6" s="3373" t="s">
        <v>523</v>
      </c>
      <c r="AC6" s="3372" t="s">
        <v>524</v>
      </c>
    </row>
    <row r="7" spans="1:30" ht="20.25">
      <c r="A7" s="515"/>
      <c r="B7" s="516"/>
      <c r="C7" s="3391" t="s">
        <v>3001</v>
      </c>
      <c r="D7" s="3392"/>
      <c r="E7" s="3391" t="s">
        <v>3226</v>
      </c>
      <c r="F7" s="3392"/>
      <c r="G7" s="3391" t="s">
        <v>3229</v>
      </c>
      <c r="H7" s="3392"/>
      <c r="I7" s="3391" t="s">
        <v>3171</v>
      </c>
      <c r="J7" s="3392"/>
      <c r="K7" s="514"/>
      <c r="L7" s="2133"/>
      <c r="M7" s="2132"/>
      <c r="N7" s="2132"/>
      <c r="O7" s="2134"/>
      <c r="P7" s="3379"/>
      <c r="Q7" s="3380"/>
      <c r="R7" s="3385"/>
      <c r="S7" s="3386"/>
      <c r="T7" s="3385"/>
      <c r="U7" s="3386"/>
      <c r="V7" s="3370"/>
      <c r="W7" s="3370"/>
      <c r="X7" s="1566"/>
      <c r="Y7" s="3385"/>
      <c r="Z7" s="3386"/>
      <c r="AA7" s="3373"/>
      <c r="AB7" s="3373"/>
      <c r="AC7" s="3373"/>
    </row>
    <row r="8" spans="1:30" ht="21" thickBot="1">
      <c r="A8" s="515"/>
      <c r="B8" s="516"/>
      <c r="C8" s="3393" t="s">
        <v>2937</v>
      </c>
      <c r="D8" s="3394"/>
      <c r="E8" s="3393" t="s">
        <v>2937</v>
      </c>
      <c r="F8" s="3394"/>
      <c r="G8" s="3389" t="s">
        <v>2937</v>
      </c>
      <c r="H8" s="3390"/>
      <c r="I8" s="3389" t="s">
        <v>2937</v>
      </c>
      <c r="J8" s="3390"/>
      <c r="K8" s="514" t="s">
        <v>527</v>
      </c>
      <c r="L8" s="2133"/>
      <c r="M8" s="2132"/>
      <c r="N8" s="2132"/>
      <c r="O8" s="2134"/>
      <c r="P8" s="3381"/>
      <c r="Q8" s="3382"/>
      <c r="R8" s="3385"/>
      <c r="S8" s="3386"/>
      <c r="T8" s="3387"/>
      <c r="U8" s="3388"/>
      <c r="V8" s="3370"/>
      <c r="W8" s="3370"/>
      <c r="X8" s="1566"/>
      <c r="Y8" s="3387"/>
      <c r="Z8" s="3388"/>
      <c r="AA8" s="3374"/>
      <c r="AB8" s="3374"/>
      <c r="AC8" s="3374"/>
    </row>
    <row r="9" spans="1:30" s="1219" customFormat="1" ht="21" thickBot="1">
      <c r="A9" s="2912"/>
      <c r="B9" s="2919" t="s">
        <v>528</v>
      </c>
      <c r="C9" s="2911">
        <f>'数据-取费表'!B2</f>
        <v>43334</v>
      </c>
      <c r="D9" s="520">
        <v>100</v>
      </c>
      <c r="E9" s="521">
        <v>42781</v>
      </c>
      <c r="F9" s="522">
        <f>SUMIF(72:72,YEAR(E9)&amp;"-"&amp;INT((MONTH(E9)+2)/3),73:73)</f>
        <v>94</v>
      </c>
      <c r="G9" s="523">
        <v>43180</v>
      </c>
      <c r="H9" s="520">
        <f>SUMIF(72:72,YEAR(G9)&amp;"-"&amp;INT((MONTH(G9)+2)/3),73:73)</f>
        <v>98</v>
      </c>
      <c r="I9" s="523">
        <v>43155</v>
      </c>
      <c r="J9" s="520">
        <f>SUMIF(72:72,YEAR(I9)&amp;"-"&amp;INT((MONTH(I9)+2)/3),73:73)</f>
        <v>98</v>
      </c>
      <c r="K9" s="524"/>
      <c r="L9" s="2135"/>
      <c r="M9" s="2132"/>
      <c r="N9" s="2132"/>
      <c r="O9" s="2136"/>
      <c r="P9" s="3400" t="s">
        <v>529</v>
      </c>
      <c r="Q9" s="3402"/>
      <c r="R9" s="1567" t="s">
        <v>8</v>
      </c>
      <c r="S9" s="1568">
        <f t="shared" ref="S9:S17" si="0">F9</f>
        <v>94</v>
      </c>
      <c r="T9" s="1567" t="s">
        <v>8</v>
      </c>
      <c r="U9" s="1568">
        <f t="shared" ref="U9:U17" si="1">H9</f>
        <v>98</v>
      </c>
      <c r="V9" s="1567" t="s">
        <v>8</v>
      </c>
      <c r="W9" s="1568">
        <f t="shared" ref="W9:W17" si="2">J9</f>
        <v>98</v>
      </c>
      <c r="X9" s="1569"/>
      <c r="Y9" s="3400" t="s">
        <v>529</v>
      </c>
      <c r="Z9" s="3401"/>
      <c r="AA9" s="1570">
        <f>D9/F9</f>
        <v>1.0638297872340425</v>
      </c>
      <c r="AB9" s="1570">
        <f>D9/H9</f>
        <v>1.0204081632653061</v>
      </c>
      <c r="AC9" s="1570">
        <f>D9/J9</f>
        <v>1.0204081632653061</v>
      </c>
    </row>
    <row r="10" spans="1:30" s="1219" customFormat="1" ht="21" thickBot="1">
      <c r="A10" s="2913"/>
      <c r="B10" s="2920" t="s">
        <v>530</v>
      </c>
      <c r="C10" s="856" t="s">
        <v>531</v>
      </c>
      <c r="D10" s="520">
        <v>100</v>
      </c>
      <c r="E10" s="525" t="s">
        <v>2999</v>
      </c>
      <c r="F10" s="522">
        <f>SUMIF(75:75,E10,76:76)-SUMIF(75:75,C10,76:76)+100</f>
        <v>100</v>
      </c>
      <c r="G10" s="525" t="s">
        <v>2999</v>
      </c>
      <c r="H10" s="520">
        <f>SUMIF(75:75,G10,76:76)-SUMIF(75:75,C10,76:76)+100</f>
        <v>100</v>
      </c>
      <c r="I10" s="525" t="s">
        <v>2999</v>
      </c>
      <c r="J10" s="520">
        <f>SUMIF(75:75,I10,76:76)-SUMIF(75:75,C10,76:76)+100</f>
        <v>100</v>
      </c>
      <c r="K10" s="524"/>
      <c r="L10" s="2135"/>
      <c r="M10" s="2132"/>
      <c r="N10" s="2132"/>
      <c r="O10" s="2136"/>
      <c r="P10" s="3400" t="s">
        <v>532</v>
      </c>
      <c r="Q10" s="3401"/>
      <c r="R10" s="1567" t="s">
        <v>8</v>
      </c>
      <c r="S10" s="1568">
        <f t="shared" si="0"/>
        <v>100</v>
      </c>
      <c r="T10" s="1567" t="s">
        <v>8</v>
      </c>
      <c r="U10" s="1568">
        <f t="shared" si="1"/>
        <v>100</v>
      </c>
      <c r="V10" s="1567" t="s">
        <v>8</v>
      </c>
      <c r="W10" s="1568">
        <f t="shared" si="2"/>
        <v>100</v>
      </c>
      <c r="X10" s="1569"/>
      <c r="Y10" s="3400" t="s">
        <v>532</v>
      </c>
      <c r="Z10" s="3401"/>
      <c r="AA10" s="1570">
        <f t="shared" ref="AA10:AA47" si="3">D10/F10</f>
        <v>1</v>
      </c>
      <c r="AB10" s="1570">
        <f t="shared" ref="AB10:AB47" si="4">D10/H10</f>
        <v>1</v>
      </c>
      <c r="AC10" s="1570">
        <f t="shared" ref="AC10:AC47" si="5">D10/J10</f>
        <v>1</v>
      </c>
    </row>
    <row r="11" spans="1:30" s="1219" customFormat="1" ht="20.25">
      <c r="A11" s="2914"/>
      <c r="B11" s="2921" t="s">
        <v>2758</v>
      </c>
      <c r="C11" s="2908"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5"/>
      <c r="M11" s="2132"/>
      <c r="N11" s="2132"/>
      <c r="O11" s="2137"/>
      <c r="P11" s="3369" t="s">
        <v>534</v>
      </c>
      <c r="Q11" s="1150" t="str">
        <f t="shared" ref="Q11:Q17" si="6">B11</f>
        <v>用途</v>
      </c>
      <c r="R11" s="1567" t="s">
        <v>8</v>
      </c>
      <c r="S11" s="1568">
        <f t="shared" si="0"/>
        <v>100</v>
      </c>
      <c r="T11" s="1567" t="s">
        <v>8</v>
      </c>
      <c r="U11" s="1568">
        <f t="shared" si="1"/>
        <v>100</v>
      </c>
      <c r="V11" s="1567" t="s">
        <v>8</v>
      </c>
      <c r="W11" s="1568">
        <f t="shared" si="2"/>
        <v>100</v>
      </c>
      <c r="X11" s="1569"/>
      <c r="Y11" s="3315" t="s">
        <v>535</v>
      </c>
      <c r="Z11" s="1149" t="str">
        <f t="shared" ref="Z11:Z17" si="7">Q11</f>
        <v>用途</v>
      </c>
      <c r="AA11" s="1570">
        <f t="shared" si="3"/>
        <v>1</v>
      </c>
      <c r="AB11" s="1570">
        <f t="shared" si="4"/>
        <v>1</v>
      </c>
      <c r="AC11" s="1570">
        <f t="shared" si="5"/>
        <v>1</v>
      </c>
    </row>
    <row r="12" spans="1:30" s="1337" customFormat="1" ht="27">
      <c r="A12" s="2915"/>
      <c r="B12" s="2920" t="s">
        <v>2759</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369"/>
      <c r="Q12" s="1150" t="str">
        <f t="shared" si="6"/>
        <v>土地使用年限（年）</v>
      </c>
      <c r="R12" s="1567" t="s">
        <v>8</v>
      </c>
      <c r="S12" s="1568">
        <f t="shared" si="0"/>
        <v>103</v>
      </c>
      <c r="T12" s="1567" t="s">
        <v>8</v>
      </c>
      <c r="U12" s="1568">
        <f t="shared" si="1"/>
        <v>103</v>
      </c>
      <c r="V12" s="1567" t="s">
        <v>8</v>
      </c>
      <c r="W12" s="1568">
        <f t="shared" si="2"/>
        <v>103</v>
      </c>
      <c r="X12" s="1569"/>
      <c r="Y12" s="3315"/>
      <c r="Z12" s="1149" t="str">
        <f t="shared" si="7"/>
        <v>土地使用年限（年）</v>
      </c>
      <c r="AA12" s="1570">
        <f t="shared" si="3"/>
        <v>0.970873786407767</v>
      </c>
      <c r="AB12" s="1570">
        <f t="shared" si="4"/>
        <v>0.970873786407767</v>
      </c>
      <c r="AC12" s="1570">
        <f t="shared" si="5"/>
        <v>0.970873786407767</v>
      </c>
    </row>
    <row r="13" spans="1:30" ht="20.25">
      <c r="A13" s="2916"/>
      <c r="B13" s="2920" t="s">
        <v>2760</v>
      </c>
      <c r="C13" s="534">
        <v>1.2</v>
      </c>
      <c r="D13" s="255">
        <v>100</v>
      </c>
      <c r="E13" s="533">
        <v>1.2</v>
      </c>
      <c r="F13" s="255">
        <f>LOOKUP(E13,82:82,83:83)-LOOKUP(C13,82:82,83:83)+100</f>
        <v>100</v>
      </c>
      <c r="G13" s="534">
        <v>1.1000000000000001</v>
      </c>
      <c r="H13" s="255">
        <f>LOOKUP(G13,82:82,83:83)-LOOKUP(C13,82:82,83:83)+100</f>
        <v>100</v>
      </c>
      <c r="I13" s="533">
        <v>1.6</v>
      </c>
      <c r="J13" s="255">
        <f>LOOKUP(I13,82:82,83:83)-LOOKUP(C13,82:82,83:83)+100</f>
        <v>95</v>
      </c>
      <c r="K13" s="535">
        <v>5</v>
      </c>
      <c r="L13" s="2140"/>
      <c r="M13" s="2132"/>
      <c r="N13" s="2132"/>
      <c r="O13" s="2141"/>
      <c r="P13" s="3369"/>
      <c r="Q13" s="1150" t="str">
        <f t="shared" si="6"/>
        <v>容积率</v>
      </c>
      <c r="R13" s="1567" t="s">
        <v>8</v>
      </c>
      <c r="S13" s="1568">
        <f t="shared" si="0"/>
        <v>100</v>
      </c>
      <c r="T13" s="1567" t="s">
        <v>8</v>
      </c>
      <c r="U13" s="1568">
        <f t="shared" si="1"/>
        <v>100</v>
      </c>
      <c r="V13" s="1567" t="s">
        <v>8</v>
      </c>
      <c r="W13" s="1568">
        <f t="shared" si="2"/>
        <v>95</v>
      </c>
      <c r="X13" s="1569"/>
      <c r="Y13" s="3315"/>
      <c r="Z13" s="1149" t="str">
        <f t="shared" si="7"/>
        <v>容积率</v>
      </c>
      <c r="AA13" s="1570">
        <f t="shared" si="3"/>
        <v>1</v>
      </c>
      <c r="AB13" s="1570">
        <f t="shared" si="4"/>
        <v>1</v>
      </c>
      <c r="AC13" s="1570">
        <f t="shared" si="5"/>
        <v>1.0526315789473684</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69"/>
      <c r="Q14" s="1150" t="str">
        <f t="shared" si="6"/>
        <v>配建</v>
      </c>
      <c r="R14" s="1567" t="s">
        <v>8</v>
      </c>
      <c r="S14" s="1568">
        <f t="shared" si="0"/>
        <v>100</v>
      </c>
      <c r="T14" s="1567" t="s">
        <v>8</v>
      </c>
      <c r="U14" s="1568">
        <f t="shared" si="1"/>
        <v>100</v>
      </c>
      <c r="V14" s="1567" t="s">
        <v>8</v>
      </c>
      <c r="W14" s="1568">
        <f t="shared" si="2"/>
        <v>100</v>
      </c>
      <c r="X14" s="1569"/>
      <c r="Y14" s="3315"/>
      <c r="Z14" s="1149" t="str">
        <f t="shared" si="7"/>
        <v>配建</v>
      </c>
      <c r="AA14" s="1570">
        <f>D14/F14</f>
        <v>1</v>
      </c>
      <c r="AB14" s="1570">
        <f>D14/H14</f>
        <v>1</v>
      </c>
      <c r="AC14" s="1570">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9"/>
      <c r="Q15" s="1150">
        <f t="shared" si="6"/>
        <v>111</v>
      </c>
      <c r="R15" s="1567" t="s">
        <v>8</v>
      </c>
      <c r="S15" s="1568">
        <f t="shared" si="0"/>
        <v>100</v>
      </c>
      <c r="T15" s="1567" t="s">
        <v>8</v>
      </c>
      <c r="U15" s="1568">
        <f t="shared" si="1"/>
        <v>100</v>
      </c>
      <c r="V15" s="1567" t="s">
        <v>8</v>
      </c>
      <c r="W15" s="1568">
        <f t="shared" si="2"/>
        <v>100</v>
      </c>
      <c r="X15" s="1569"/>
      <c r="Y15" s="3315"/>
      <c r="Z15" s="1149">
        <f t="shared" si="7"/>
        <v>111</v>
      </c>
      <c r="AA15" s="1570">
        <f>D15/F15</f>
        <v>1</v>
      </c>
      <c r="AB15" s="1570">
        <f>D15/H15</f>
        <v>1</v>
      </c>
      <c r="AC15" s="1570">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9"/>
      <c r="Q16" s="1150">
        <f t="shared" si="6"/>
        <v>111</v>
      </c>
      <c r="R16" s="1567" t="s">
        <v>8</v>
      </c>
      <c r="S16" s="1568">
        <f t="shared" si="0"/>
        <v>100</v>
      </c>
      <c r="T16" s="1567" t="s">
        <v>8</v>
      </c>
      <c r="U16" s="1568">
        <f t="shared" si="1"/>
        <v>100</v>
      </c>
      <c r="V16" s="1567" t="s">
        <v>8</v>
      </c>
      <c r="W16" s="1568">
        <f t="shared" si="2"/>
        <v>100</v>
      </c>
      <c r="X16" s="1569"/>
      <c r="Y16" s="3315"/>
      <c r="Z16" s="1149">
        <f t="shared" si="7"/>
        <v>111</v>
      </c>
      <c r="AA16" s="1570">
        <f>D16/F16</f>
        <v>1</v>
      </c>
      <c r="AB16" s="1570">
        <f>D16/H16</f>
        <v>1</v>
      </c>
      <c r="AC16" s="1570">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3500" t="s">
        <v>3227</v>
      </c>
      <c r="F17" s="549">
        <f>SUMIF(90:90,E18,91:91)-SUMIF(90:90,C18,91:91)+100</f>
        <v>105</v>
      </c>
      <c r="G17" s="550"/>
      <c r="H17" s="549">
        <f>SUMIF(90:90,G18,91:91)-SUMIF(90:90,C18,91:91)+100</f>
        <v>105</v>
      </c>
      <c r="I17" s="552"/>
      <c r="J17" s="549">
        <f>SUMIF(90:90,I18,91:91)-SUMIF(90:90,C18,91:91)+100</f>
        <v>105</v>
      </c>
      <c r="K17" s="535">
        <v>5</v>
      </c>
      <c r="L17" s="2142"/>
      <c r="M17" s="2132"/>
      <c r="N17" s="2132" t="s">
        <v>3168</v>
      </c>
      <c r="O17" s="2141"/>
      <c r="P17" s="3403" t="s">
        <v>539</v>
      </c>
      <c r="Q17" s="1571" t="str">
        <f t="shared" si="6"/>
        <v>居住社区成熟度</v>
      </c>
      <c r="R17" s="1572" t="s">
        <v>8</v>
      </c>
      <c r="S17" s="1573">
        <f t="shared" si="0"/>
        <v>105</v>
      </c>
      <c r="T17" s="1572" t="s">
        <v>8</v>
      </c>
      <c r="U17" s="1573">
        <f t="shared" si="1"/>
        <v>105</v>
      </c>
      <c r="V17" s="1572" t="s">
        <v>8</v>
      </c>
      <c r="W17" s="1573">
        <f t="shared" si="2"/>
        <v>105</v>
      </c>
      <c r="X17" s="1566"/>
      <c r="Y17" s="3403" t="s">
        <v>539</v>
      </c>
      <c r="Z17" s="1574" t="str">
        <f t="shared" si="7"/>
        <v>居住社区成熟度</v>
      </c>
      <c r="AA17" s="1575">
        <f t="shared" si="3"/>
        <v>0.95238095238095233</v>
      </c>
      <c r="AB17" s="1575">
        <f t="shared" si="4"/>
        <v>0.95238095238095233</v>
      </c>
      <c r="AC17" s="1575">
        <f t="shared" si="5"/>
        <v>0.95238095238095233</v>
      </c>
    </row>
    <row r="18" spans="1:29" ht="20.25">
      <c r="A18" s="532"/>
      <c r="B18" s="553"/>
      <c r="C18" s="554" t="s">
        <v>3002</v>
      </c>
      <c r="D18" s="557"/>
      <c r="E18" s="558" t="s">
        <v>3004</v>
      </c>
      <c r="F18" s="555"/>
      <c r="G18" s="556" t="s">
        <v>3004</v>
      </c>
      <c r="H18" s="559"/>
      <c r="I18" s="558" t="s">
        <v>3004</v>
      </c>
      <c r="J18" s="555"/>
      <c r="K18" s="531"/>
      <c r="L18" s="2142"/>
      <c r="M18" s="2132"/>
      <c r="N18" s="2132"/>
      <c r="O18" s="2141"/>
      <c r="P18" s="3404"/>
      <c r="Q18" s="1571"/>
      <c r="R18" s="1572"/>
      <c r="S18" s="1573"/>
      <c r="T18" s="1572"/>
      <c r="U18" s="1573"/>
      <c r="V18" s="1572"/>
      <c r="W18" s="1573"/>
      <c r="X18" s="1566"/>
      <c r="Y18" s="3404"/>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100</v>
      </c>
      <c r="I19" s="564"/>
      <c r="J19" s="565">
        <f>SUMIF(92:92,I20,93:93)-SUMIF(92:92,C20,93:93)+100</f>
        <v>103</v>
      </c>
      <c r="K19" s="535">
        <v>3</v>
      </c>
      <c r="L19" s="2142"/>
      <c r="M19" s="2132"/>
      <c r="N19" s="2132"/>
      <c r="O19" s="2141"/>
      <c r="P19" s="3404"/>
      <c r="Q19" s="1571" t="str">
        <f>B19</f>
        <v>商业繁华度</v>
      </c>
      <c r="R19" s="1572" t="s">
        <v>8</v>
      </c>
      <c r="S19" s="1573">
        <f>F19</f>
        <v>103</v>
      </c>
      <c r="T19" s="1572" t="s">
        <v>8</v>
      </c>
      <c r="U19" s="1573">
        <f>H19</f>
        <v>100</v>
      </c>
      <c r="V19" s="1572" t="s">
        <v>8</v>
      </c>
      <c r="W19" s="1573">
        <f>J19</f>
        <v>103</v>
      </c>
      <c r="X19" s="1566"/>
      <c r="Y19" s="3404"/>
      <c r="Z19" s="1574" t="str">
        <f>Q19</f>
        <v>商业繁华度</v>
      </c>
      <c r="AA19" s="1575">
        <f t="shared" si="3"/>
        <v>0.970873786407767</v>
      </c>
      <c r="AB19" s="1575">
        <f t="shared" si="4"/>
        <v>1</v>
      </c>
      <c r="AC19" s="1575">
        <f t="shared" si="5"/>
        <v>0.970873786407767</v>
      </c>
    </row>
    <row r="20" spans="1:29" ht="20.25">
      <c r="A20" s="532"/>
      <c r="B20" s="566"/>
      <c r="C20" s="567" t="s">
        <v>3002</v>
      </c>
      <c r="D20" s="563"/>
      <c r="E20" s="569" t="s">
        <v>3004</v>
      </c>
      <c r="F20" s="559"/>
      <c r="G20" s="568" t="s">
        <v>3002</v>
      </c>
      <c r="H20" s="555"/>
      <c r="I20" s="569" t="s">
        <v>3004</v>
      </c>
      <c r="J20" s="555"/>
      <c r="K20" s="531"/>
      <c r="L20" s="2142"/>
      <c r="M20" s="2132"/>
      <c r="N20" s="2132"/>
      <c r="O20" s="2141"/>
      <c r="P20" s="3404"/>
      <c r="Q20" s="1571"/>
      <c r="R20" s="1572"/>
      <c r="S20" s="1573"/>
      <c r="T20" s="1572"/>
      <c r="U20" s="1573"/>
      <c r="V20" s="1572"/>
      <c r="W20" s="1573"/>
      <c r="X20" s="1566"/>
      <c r="Y20" s="3404"/>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404"/>
      <c r="Q21" s="1571" t="str">
        <f>B21</f>
        <v>办公集聚程度</v>
      </c>
      <c r="R21" s="1572" t="s">
        <v>8</v>
      </c>
      <c r="S21" s="1573">
        <f>F21</f>
        <v>100</v>
      </c>
      <c r="T21" s="1572" t="s">
        <v>8</v>
      </c>
      <c r="U21" s="1573">
        <f>H21</f>
        <v>100</v>
      </c>
      <c r="V21" s="1572" t="s">
        <v>8</v>
      </c>
      <c r="W21" s="1573">
        <f>J21</f>
        <v>100</v>
      </c>
      <c r="X21" s="1566"/>
      <c r="Y21" s="3404"/>
      <c r="Z21" s="1574" t="str">
        <f>Q21</f>
        <v>办公集聚程度</v>
      </c>
      <c r="AA21" s="1575">
        <f t="shared" si="3"/>
        <v>1</v>
      </c>
      <c r="AB21" s="1575">
        <f t="shared" si="4"/>
        <v>1</v>
      </c>
      <c r="AC21" s="1575">
        <f t="shared" si="5"/>
        <v>1</v>
      </c>
    </row>
    <row r="22" spans="1:29" ht="20.25">
      <c r="A22" s="532"/>
      <c r="B22" s="566"/>
      <c r="C22" s="554" t="s">
        <v>3002</v>
      </c>
      <c r="D22" s="557"/>
      <c r="E22" s="558" t="s">
        <v>3004</v>
      </c>
      <c r="F22" s="555"/>
      <c r="G22" s="556" t="s">
        <v>3002</v>
      </c>
      <c r="H22" s="555"/>
      <c r="I22" s="558" t="s">
        <v>3004</v>
      </c>
      <c r="J22" s="555"/>
      <c r="K22" s="531"/>
      <c r="L22" s="2142"/>
      <c r="M22" s="2132"/>
      <c r="N22" s="2132"/>
      <c r="O22" s="2141"/>
      <c r="P22" s="3404"/>
      <c r="Q22" s="1571"/>
      <c r="R22" s="1572"/>
      <c r="S22" s="1573"/>
      <c r="T22" s="1572"/>
      <c r="U22" s="1573"/>
      <c r="V22" s="1572"/>
      <c r="W22" s="1573"/>
      <c r="X22" s="1566"/>
      <c r="Y22" s="3404"/>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t="s">
        <v>3228</v>
      </c>
      <c r="F23" s="565">
        <f>SUMIF(96:96,E24,97:97)-SUMIF(96:96,C24,97:97)+100</f>
        <v>105</v>
      </c>
      <c r="G23" s="562"/>
      <c r="H23" s="559">
        <f>SUMIF(96:96,G24,97:97)-SUMIF(96:96,C24,97:97)+100</f>
        <v>100</v>
      </c>
      <c r="I23" s="564"/>
      <c r="J23" s="559">
        <f>SUMIF(96:96,I24,97:97)-SUMIF(96:96,C24,97:97)+100</f>
        <v>100</v>
      </c>
      <c r="K23" s="535">
        <v>5</v>
      </c>
      <c r="L23" s="2142"/>
      <c r="M23" s="2132"/>
      <c r="N23" s="2132"/>
      <c r="O23" s="2141"/>
      <c r="P23" s="3404"/>
      <c r="Q23" s="1571" t="str">
        <f>B23</f>
        <v>交通便捷度</v>
      </c>
      <c r="R23" s="1572" t="s">
        <v>8</v>
      </c>
      <c r="S23" s="1573">
        <f>F23</f>
        <v>105</v>
      </c>
      <c r="T23" s="1572" t="s">
        <v>8</v>
      </c>
      <c r="U23" s="1573">
        <f>H23</f>
        <v>100</v>
      </c>
      <c r="V23" s="1572" t="s">
        <v>8</v>
      </c>
      <c r="W23" s="1573">
        <f>J23</f>
        <v>100</v>
      </c>
      <c r="X23" s="1566"/>
      <c r="Y23" s="3404"/>
      <c r="Z23" s="1574" t="str">
        <f>Q23</f>
        <v>交通便捷度</v>
      </c>
      <c r="AA23" s="1575">
        <f t="shared" si="3"/>
        <v>0.95238095238095233</v>
      </c>
      <c r="AB23" s="1575">
        <f t="shared" si="4"/>
        <v>1</v>
      </c>
      <c r="AC23" s="1575">
        <f t="shared" si="5"/>
        <v>1</v>
      </c>
    </row>
    <row r="24" spans="1:29" ht="20.25">
      <c r="A24" s="532"/>
      <c r="B24" s="578"/>
      <c r="C24" s="554" t="s">
        <v>3002</v>
      </c>
      <c r="D24" s="557"/>
      <c r="E24" s="558" t="s">
        <v>3004</v>
      </c>
      <c r="F24" s="555"/>
      <c r="G24" s="556" t="s">
        <v>3002</v>
      </c>
      <c r="H24" s="555"/>
      <c r="I24" s="558" t="s">
        <v>3002</v>
      </c>
      <c r="J24" s="555"/>
      <c r="K24" s="531"/>
      <c r="L24" s="2142"/>
      <c r="M24" s="2132"/>
      <c r="N24" s="2132"/>
      <c r="O24" s="2141"/>
      <c r="P24" s="3404"/>
      <c r="Q24" s="1571"/>
      <c r="R24" s="1572"/>
      <c r="S24" s="1573"/>
      <c r="T24" s="1572"/>
      <c r="U24" s="1573"/>
      <c r="V24" s="1572"/>
      <c r="W24" s="1573"/>
      <c r="X24" s="1566"/>
      <c r="Y24" s="3404"/>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0</v>
      </c>
      <c r="L25" s="2142"/>
      <c r="M25" s="2132"/>
      <c r="N25" s="2132"/>
      <c r="O25" s="2141"/>
      <c r="P25" s="3404"/>
      <c r="Q25" s="1571" t="str">
        <f t="shared" ref="Q25:Q39" si="8">B25</f>
        <v>区域土地利用方向</v>
      </c>
      <c r="R25" s="1572" t="s">
        <v>8</v>
      </c>
      <c r="S25" s="1573">
        <f>F25</f>
        <v>100</v>
      </c>
      <c r="T25" s="1572" t="s">
        <v>8</v>
      </c>
      <c r="U25" s="1573">
        <f>H25</f>
        <v>100</v>
      </c>
      <c r="V25" s="1572" t="s">
        <v>8</v>
      </c>
      <c r="W25" s="1573">
        <f>J25</f>
        <v>100</v>
      </c>
      <c r="X25" s="1566"/>
      <c r="Y25" s="3404"/>
      <c r="Z25" s="1574" t="str">
        <f>Q25</f>
        <v>区域土地利用方向</v>
      </c>
      <c r="AA25" s="1575">
        <f t="shared" si="3"/>
        <v>1</v>
      </c>
      <c r="AB25" s="1575">
        <f t="shared" si="4"/>
        <v>1</v>
      </c>
      <c r="AC25" s="1575">
        <f t="shared" si="5"/>
        <v>1</v>
      </c>
    </row>
    <row r="26" spans="1:29" ht="20.25">
      <c r="A26" s="515"/>
      <c r="B26" s="1006"/>
      <c r="C26" s="554" t="s">
        <v>3004</v>
      </c>
      <c r="D26" s="557"/>
      <c r="E26" s="558" t="s">
        <v>3004</v>
      </c>
      <c r="F26" s="555"/>
      <c r="G26" s="556" t="s">
        <v>3004</v>
      </c>
      <c r="H26" s="555"/>
      <c r="I26" s="558" t="s">
        <v>3004</v>
      </c>
      <c r="J26" s="555"/>
      <c r="K26" s="531"/>
      <c r="L26" s="2142"/>
      <c r="M26" s="2132"/>
      <c r="N26" s="2132"/>
      <c r="O26" s="2141"/>
      <c r="P26" s="3404"/>
      <c r="Q26" s="1571"/>
      <c r="R26" s="1572"/>
      <c r="S26" s="1573"/>
      <c r="T26" s="1572"/>
      <c r="U26" s="1573"/>
      <c r="V26" s="1572"/>
      <c r="W26" s="1573"/>
      <c r="X26" s="1566"/>
      <c r="Y26" s="3404"/>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90</v>
      </c>
      <c r="G27" s="562"/>
      <c r="H27" s="559">
        <f>SUMIF(100:100,G28,101:101)-SUMIF(100:100,C28,101:101)+100</f>
        <v>100</v>
      </c>
      <c r="I27" s="564"/>
      <c r="J27" s="559">
        <f>SUMIF(100:100,I28,101:101)-SUMIF(100:100,C28,101:101)+100</f>
        <v>90</v>
      </c>
      <c r="K27" s="535">
        <v>5</v>
      </c>
      <c r="L27" s="2142"/>
      <c r="M27" s="2132"/>
      <c r="N27" s="2132"/>
      <c r="O27" s="2141"/>
      <c r="P27" s="3404"/>
      <c r="Q27" s="1571" t="str">
        <f t="shared" si="8"/>
        <v>自然及人文环境状况</v>
      </c>
      <c r="R27" s="1572" t="s">
        <v>8</v>
      </c>
      <c r="S27" s="1573">
        <f>F27</f>
        <v>90</v>
      </c>
      <c r="T27" s="1572" t="s">
        <v>8</v>
      </c>
      <c r="U27" s="1573">
        <f>H27</f>
        <v>100</v>
      </c>
      <c r="V27" s="1572" t="s">
        <v>8</v>
      </c>
      <c r="W27" s="1573">
        <f>J27</f>
        <v>90</v>
      </c>
      <c r="X27" s="1566"/>
      <c r="Y27" s="3404"/>
      <c r="Z27" s="1574" t="str">
        <f>Q27</f>
        <v>自然及人文环境状况</v>
      </c>
      <c r="AA27" s="1575">
        <f t="shared" si="3"/>
        <v>1.1111111111111112</v>
      </c>
      <c r="AB27" s="1575">
        <f t="shared" si="4"/>
        <v>1</v>
      </c>
      <c r="AC27" s="1575">
        <f t="shared" si="5"/>
        <v>1.1111111111111112</v>
      </c>
    </row>
    <row r="28" spans="1:29" ht="20.25">
      <c r="A28" s="515"/>
      <c r="B28" s="566"/>
      <c r="C28" s="554" t="s">
        <v>3003</v>
      </c>
      <c r="D28" s="557"/>
      <c r="E28" s="576" t="s">
        <v>3002</v>
      </c>
      <c r="F28" s="555"/>
      <c r="G28" s="554" t="s">
        <v>3003</v>
      </c>
      <c r="H28" s="555"/>
      <c r="I28" s="576" t="s">
        <v>3002</v>
      </c>
      <c r="J28" s="555"/>
      <c r="K28" s="531"/>
      <c r="L28" s="2142"/>
      <c r="M28" s="2132"/>
      <c r="N28" s="2132"/>
      <c r="O28" s="2141"/>
      <c r="P28" s="3404"/>
      <c r="Q28" s="1571"/>
      <c r="R28" s="1572"/>
      <c r="S28" s="1573"/>
      <c r="T28" s="1572"/>
      <c r="U28" s="1573"/>
      <c r="V28" s="1572"/>
      <c r="W28" s="1573"/>
      <c r="X28" s="1566"/>
      <c r="Y28" s="3404"/>
      <c r="Z28" s="1574"/>
      <c r="AA28" s="1575">
        <v>1</v>
      </c>
      <c r="AB28" s="1575">
        <v>1</v>
      </c>
      <c r="AC28" s="1575">
        <v>1</v>
      </c>
    </row>
    <row r="29" spans="1:29" s="1219" customFormat="1" ht="54">
      <c r="A29" s="577"/>
      <c r="B29" s="2591" t="s">
        <v>2550</v>
      </c>
      <c r="C29" s="573" t="str">
        <f>估价对象房地状况!C21</f>
        <v>估价对象所在区域公共配套设施齐备情况</v>
      </c>
      <c r="D29" s="563">
        <v>100</v>
      </c>
      <c r="E29" s="3198" t="s">
        <v>3230</v>
      </c>
      <c r="F29" s="559">
        <f>SUMIF(102:102,E30,103:103)-SUMIF(102:102,C30,103:103)+100</f>
        <v>103</v>
      </c>
      <c r="G29" s="562"/>
      <c r="H29" s="559">
        <f>SUMIF(102:102,G30,103:103)-SUMIF(102:102,C30,103:103)+100</f>
        <v>100</v>
      </c>
      <c r="I29" s="564"/>
      <c r="J29" s="559">
        <f>SUMIF(102:102,I30,103:103)-SUMIF(102:102,C30,103:103)+100</f>
        <v>106</v>
      </c>
      <c r="K29" s="535">
        <v>3</v>
      </c>
      <c r="L29" s="2135"/>
      <c r="M29" s="2132"/>
      <c r="N29" s="2132"/>
      <c r="O29" s="2137"/>
      <c r="P29" s="3404"/>
      <c r="Q29" s="1150" t="str">
        <f t="shared" si="8"/>
        <v>公共配套设施</v>
      </c>
      <c r="R29" s="1567" t="s">
        <v>8</v>
      </c>
      <c r="S29" s="1568">
        <f>F29</f>
        <v>103</v>
      </c>
      <c r="T29" s="1567" t="s">
        <v>8</v>
      </c>
      <c r="U29" s="1568">
        <f>H29</f>
        <v>100</v>
      </c>
      <c r="V29" s="1567" t="s">
        <v>8</v>
      </c>
      <c r="W29" s="1568">
        <f>J29</f>
        <v>106</v>
      </c>
      <c r="X29" s="1569"/>
      <c r="Y29" s="3404"/>
      <c r="Z29" s="1149" t="str">
        <f>Q29</f>
        <v>公共配套设施</v>
      </c>
      <c r="AA29" s="1575">
        <f>D29/F29</f>
        <v>0.970873786407767</v>
      </c>
      <c r="AB29" s="1575">
        <f>D29/H29</f>
        <v>1</v>
      </c>
      <c r="AC29" s="1575">
        <f>D29/J29</f>
        <v>0.94339622641509435</v>
      </c>
    </row>
    <row r="30" spans="1:29" s="1219" customFormat="1" ht="20.25">
      <c r="A30" s="577"/>
      <c r="B30" s="566"/>
      <c r="C30" s="579" t="s">
        <v>3002</v>
      </c>
      <c r="D30" s="557"/>
      <c r="E30" s="576" t="s">
        <v>3004</v>
      </c>
      <c r="F30" s="555"/>
      <c r="G30" s="554" t="s">
        <v>3002</v>
      </c>
      <c r="H30" s="555"/>
      <c r="I30" s="576" t="s">
        <v>3003</v>
      </c>
      <c r="J30" s="555"/>
      <c r="K30" s="531"/>
      <c r="L30" s="2135"/>
      <c r="M30" s="2132"/>
      <c r="N30" s="2132"/>
      <c r="O30" s="2137"/>
      <c r="P30" s="3404"/>
      <c r="Q30" s="1150"/>
      <c r="R30" s="1567"/>
      <c r="S30" s="1568"/>
      <c r="T30" s="1567"/>
      <c r="U30" s="1568"/>
      <c r="V30" s="1567"/>
      <c r="W30" s="1568"/>
      <c r="X30" s="1569"/>
      <c r="Y30" s="3404"/>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04"/>
      <c r="Q31" s="2578" t="str">
        <f t="shared" ref="Q31" si="9">B31</f>
        <v>基础设施水平</v>
      </c>
      <c r="R31" s="1567" t="s">
        <v>8</v>
      </c>
      <c r="S31" s="1568">
        <f>F31</f>
        <v>100</v>
      </c>
      <c r="T31" s="1567" t="s">
        <v>8</v>
      </c>
      <c r="U31" s="1568">
        <f>H31</f>
        <v>100</v>
      </c>
      <c r="V31" s="1567" t="s">
        <v>8</v>
      </c>
      <c r="W31" s="1568">
        <f>J31</f>
        <v>100</v>
      </c>
      <c r="X31" s="1569"/>
      <c r="Y31" s="3404"/>
      <c r="Z31" s="2575" t="str">
        <f>Q31</f>
        <v>基础设施水平</v>
      </c>
      <c r="AA31" s="1575">
        <f>D31/F31</f>
        <v>1</v>
      </c>
      <c r="AB31" s="1575">
        <f>D31/H31</f>
        <v>1</v>
      </c>
      <c r="AC31" s="1575">
        <f>D31/J31</f>
        <v>1</v>
      </c>
    </row>
    <row r="32" spans="1:29" s="1219" customFormat="1" ht="20.25">
      <c r="A32" s="577"/>
      <c r="B32" s="566"/>
      <c r="C32" s="579" t="s">
        <v>3022</v>
      </c>
      <c r="D32" s="557"/>
      <c r="E32" s="2592" t="s">
        <v>3022</v>
      </c>
      <c r="F32" s="555"/>
      <c r="G32" s="579" t="s">
        <v>3022</v>
      </c>
      <c r="H32" s="555"/>
      <c r="I32" s="579" t="s">
        <v>3022</v>
      </c>
      <c r="J32" s="555"/>
      <c r="K32" s="531"/>
      <c r="L32" s="2135"/>
      <c r="M32" s="2132"/>
      <c r="N32" s="2132"/>
      <c r="O32" s="2137"/>
      <c r="P32" s="3404"/>
      <c r="Q32" s="2578"/>
      <c r="R32" s="1567"/>
      <c r="S32" s="1568"/>
      <c r="T32" s="1567"/>
      <c r="U32" s="1568"/>
      <c r="V32" s="1567"/>
      <c r="W32" s="1568"/>
      <c r="X32" s="1569"/>
      <c r="Y32" s="3404"/>
      <c r="Z32" s="2575"/>
      <c r="AA32" s="1575">
        <v>1</v>
      </c>
      <c r="AB32" s="1575">
        <v>1</v>
      </c>
      <c r="AC32" s="1575">
        <v>1</v>
      </c>
    </row>
    <row r="33" spans="1:29" ht="21" thickBot="1">
      <c r="A33" s="532"/>
      <c r="B33" s="566" t="s">
        <v>546</v>
      </c>
      <c r="C33" s="580" t="s">
        <v>3146</v>
      </c>
      <c r="D33" s="575">
        <v>100</v>
      </c>
      <c r="E33" s="583" t="s">
        <v>3146</v>
      </c>
      <c r="F33" s="540">
        <f>SUMIF(106:106,E33,107:107)-SUMIF(106:106,C33,107:107)+100</f>
        <v>100</v>
      </c>
      <c r="G33" s="580" t="s">
        <v>3146</v>
      </c>
      <c r="H33" s="540">
        <f>SUMIF(106:106,G33,107:107)-SUMIF(106:106,C33,107:107)+100</f>
        <v>100</v>
      </c>
      <c r="I33" s="580" t="s">
        <v>3146</v>
      </c>
      <c r="J33" s="540">
        <f>SUMIF(106:106,I33,107:107)-SUMIF(106:106,C33,107:107)+100</f>
        <v>100</v>
      </c>
      <c r="K33" s="535">
        <v>0</v>
      </c>
      <c r="L33" s="2142"/>
      <c r="M33" s="2132"/>
      <c r="N33" s="2132"/>
      <c r="O33" s="2141"/>
      <c r="P33" s="340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4"/>
      <c r="Z33" s="1574" t="str">
        <f t="shared" ref="Z33:Z47" si="13">Q33</f>
        <v>临街状况</v>
      </c>
      <c r="AA33" s="1575">
        <f t="shared" si="3"/>
        <v>1</v>
      </c>
      <c r="AB33" s="1575">
        <f t="shared" si="4"/>
        <v>1</v>
      </c>
      <c r="AC33" s="1575">
        <f t="shared" si="5"/>
        <v>1</v>
      </c>
    </row>
    <row r="34" spans="1:29" ht="27.75" thickTop="1">
      <c r="A34" s="532"/>
      <c r="B34" s="578" t="s">
        <v>547</v>
      </c>
      <c r="C34" s="3197" t="s">
        <v>3183</v>
      </c>
      <c r="D34" s="563">
        <v>100</v>
      </c>
      <c r="E34" s="3198" t="s">
        <v>3184</v>
      </c>
      <c r="F34" s="559">
        <f>SUMIF(108:108,E35,109:109)-SUMIF(108:108,C35,109:109)+100</f>
        <v>100</v>
      </c>
      <c r="G34" s="3180" t="s">
        <v>3185</v>
      </c>
      <c r="H34" s="559">
        <f>SUMIF(108:108,G35,109:109)-SUMIF(108:108,C35,109:109)+100</f>
        <v>101</v>
      </c>
      <c r="I34" s="3198" t="s">
        <v>3186</v>
      </c>
      <c r="J34" s="559">
        <f>SUMIF(108:108,I35,109:109)-SUMIF(108:108,C35,109:109)+100</f>
        <v>100</v>
      </c>
      <c r="K34" s="535">
        <v>1</v>
      </c>
      <c r="L34" s="2142"/>
      <c r="M34" s="2132"/>
      <c r="N34" s="2132"/>
      <c r="O34" s="2141"/>
      <c r="P34" s="3404"/>
      <c r="Q34" s="1571" t="str">
        <f t="shared" si="8"/>
        <v>毗邻道路的类型与等级</v>
      </c>
      <c r="R34" s="1572" t="s">
        <v>8</v>
      </c>
      <c r="S34" s="1573">
        <f t="shared" si="10"/>
        <v>100</v>
      </c>
      <c r="T34" s="1572" t="s">
        <v>8</v>
      </c>
      <c r="U34" s="1573">
        <f t="shared" si="11"/>
        <v>101</v>
      </c>
      <c r="V34" s="1572" t="s">
        <v>8</v>
      </c>
      <c r="W34" s="1573">
        <f t="shared" si="12"/>
        <v>100</v>
      </c>
      <c r="X34" s="1566"/>
      <c r="Y34" s="3404"/>
      <c r="Z34" s="1574" t="str">
        <f t="shared" si="13"/>
        <v>毗邻道路的类型与等级</v>
      </c>
      <c r="AA34" s="1575">
        <f t="shared" si="3"/>
        <v>1</v>
      </c>
      <c r="AB34" s="1575">
        <f t="shared" si="4"/>
        <v>0.99009900990099009</v>
      </c>
      <c r="AC34" s="1575">
        <f t="shared" si="5"/>
        <v>1</v>
      </c>
    </row>
    <row r="35" spans="1:29" ht="20.25">
      <c r="A35" s="532"/>
      <c r="B35" s="566"/>
      <c r="C35" s="554" t="s">
        <v>3172</v>
      </c>
      <c r="D35" s="557"/>
      <c r="E35" s="576" t="s">
        <v>3172</v>
      </c>
      <c r="F35" s="555"/>
      <c r="G35" s="554" t="s">
        <v>3180</v>
      </c>
      <c r="H35" s="555"/>
      <c r="I35" s="576" t="s">
        <v>3172</v>
      </c>
      <c r="J35" s="555"/>
      <c r="K35" s="581"/>
      <c r="L35" s="2142"/>
      <c r="M35" s="2132"/>
      <c r="N35" s="2132"/>
      <c r="O35" s="2141"/>
      <c r="P35" s="3404"/>
      <c r="Q35" s="1571"/>
      <c r="R35" s="1572"/>
      <c r="S35" s="1573"/>
      <c r="T35" s="1572"/>
      <c r="U35" s="1573"/>
      <c r="V35" s="1572"/>
      <c r="W35" s="1573"/>
      <c r="X35" s="1566"/>
      <c r="Y35" s="3404"/>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4"/>
      <c r="Q36" s="1571" t="str">
        <f t="shared" si="8"/>
        <v>土地级别</v>
      </c>
      <c r="R36" s="1572" t="s">
        <v>8</v>
      </c>
      <c r="S36" s="1573">
        <f t="shared" si="10"/>
        <v>100</v>
      </c>
      <c r="T36" s="1572" t="s">
        <v>8</v>
      </c>
      <c r="U36" s="1573">
        <f t="shared" si="11"/>
        <v>100</v>
      </c>
      <c r="V36" s="1572" t="s">
        <v>8</v>
      </c>
      <c r="W36" s="1573">
        <f t="shared" si="12"/>
        <v>100</v>
      </c>
      <c r="X36" s="1566"/>
      <c r="Y36" s="3404"/>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4"/>
      <c r="Q37" s="1571">
        <f t="shared" si="8"/>
        <v>111</v>
      </c>
      <c r="R37" s="1572" t="s">
        <v>8</v>
      </c>
      <c r="S37" s="1573">
        <f t="shared" si="10"/>
        <v>100</v>
      </c>
      <c r="T37" s="1572" t="s">
        <v>8</v>
      </c>
      <c r="U37" s="1573">
        <f t="shared" si="11"/>
        <v>100</v>
      </c>
      <c r="V37" s="1572" t="s">
        <v>8</v>
      </c>
      <c r="W37" s="1573">
        <f t="shared" si="12"/>
        <v>100</v>
      </c>
      <c r="X37" s="1566"/>
      <c r="Y37" s="3404"/>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5" t="s">
        <v>549</v>
      </c>
      <c r="Q38" s="1571">
        <f t="shared" si="8"/>
        <v>111</v>
      </c>
      <c r="R38" s="1572" t="s">
        <v>8</v>
      </c>
      <c r="S38" s="1573">
        <f t="shared" si="10"/>
        <v>100</v>
      </c>
      <c r="T38" s="1572" t="s">
        <v>8</v>
      </c>
      <c r="U38" s="1573">
        <f t="shared" si="11"/>
        <v>100</v>
      </c>
      <c r="V38" s="1572" t="s">
        <v>8</v>
      </c>
      <c r="W38" s="1573">
        <f t="shared" si="12"/>
        <v>100</v>
      </c>
      <c r="X38" s="1566"/>
      <c r="Y38" s="3406"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6"/>
      <c r="Q39" s="1571">
        <f t="shared" si="8"/>
        <v>111</v>
      </c>
      <c r="R39" s="1576" t="s">
        <v>8</v>
      </c>
      <c r="S39" s="1577">
        <f t="shared" si="10"/>
        <v>100</v>
      </c>
      <c r="T39" s="1576" t="s">
        <v>8</v>
      </c>
      <c r="U39" s="1577">
        <f t="shared" si="11"/>
        <v>100</v>
      </c>
      <c r="V39" s="1576" t="s">
        <v>8</v>
      </c>
      <c r="W39" s="1577">
        <f t="shared" si="12"/>
        <v>100</v>
      </c>
      <c r="X39" s="1578"/>
      <c r="Y39" s="3406"/>
      <c r="Z39" s="1579">
        <f t="shared" si="13"/>
        <v>111</v>
      </c>
      <c r="AA39" s="1575">
        <f t="shared" si="3"/>
        <v>1</v>
      </c>
      <c r="AB39" s="1575">
        <f t="shared" si="4"/>
        <v>1</v>
      </c>
      <c r="AC39" s="1575">
        <f t="shared" si="5"/>
        <v>1</v>
      </c>
    </row>
    <row r="40" spans="1:29" ht="20.25">
      <c r="A40" s="2907" t="s">
        <v>2757</v>
      </c>
      <c r="B40" s="595" t="s">
        <v>551</v>
      </c>
      <c r="C40" s="596">
        <f>'数据-基础表'!A3</f>
        <v>6614</v>
      </c>
      <c r="D40" s="597">
        <v>100</v>
      </c>
      <c r="E40" s="596">
        <v>15670</v>
      </c>
      <c r="F40" s="597">
        <f>LOOKUP(E40,119:119,120:120)-LOOKUP(C40,119:119,120:120)+100</f>
        <v>104</v>
      </c>
      <c r="G40" s="596">
        <v>16514</v>
      </c>
      <c r="H40" s="597">
        <f>LOOKUP(G40,119:119,120:120)-LOOKUP(C40,119:119,120:120)+100</f>
        <v>104</v>
      </c>
      <c r="I40" s="598">
        <v>6465</v>
      </c>
      <c r="J40" s="597">
        <f>LOOKUP(I40,119:119,120:120)-LOOKUP(C40,119:119,120:120)+100</f>
        <v>100</v>
      </c>
      <c r="K40" s="581"/>
      <c r="L40" s="2142"/>
      <c r="M40" s="2132"/>
      <c r="N40" s="2132"/>
      <c r="O40" s="2141"/>
      <c r="P40" s="3406"/>
      <c r="Q40" s="1571" t="str">
        <f>B40</f>
        <v>宗地面积</v>
      </c>
      <c r="R40" s="1572" t="s">
        <v>8</v>
      </c>
      <c r="S40" s="1573">
        <f t="shared" si="10"/>
        <v>104</v>
      </c>
      <c r="T40" s="1572" t="s">
        <v>8</v>
      </c>
      <c r="U40" s="1573">
        <f t="shared" si="11"/>
        <v>104</v>
      </c>
      <c r="V40" s="1572" t="s">
        <v>8</v>
      </c>
      <c r="W40" s="1573">
        <f t="shared" si="12"/>
        <v>100</v>
      </c>
      <c r="X40" s="1566"/>
      <c r="Y40" s="3406"/>
      <c r="Z40" s="1574" t="str">
        <f t="shared" si="13"/>
        <v>宗地面积</v>
      </c>
      <c r="AA40" s="1575">
        <f t="shared" si="3"/>
        <v>0.96153846153846156</v>
      </c>
      <c r="AB40" s="1575">
        <f t="shared" si="4"/>
        <v>0.96153846153846156</v>
      </c>
      <c r="AC40" s="1575">
        <f t="shared" si="5"/>
        <v>1</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06"/>
      <c r="Q41" s="1571" t="str">
        <f t="shared" ref="Q41:Q47" si="14">B41</f>
        <v>宗地形状</v>
      </c>
      <c r="R41" s="1572" t="s">
        <v>8</v>
      </c>
      <c r="S41" s="1573">
        <f t="shared" si="10"/>
        <v>100</v>
      </c>
      <c r="T41" s="1572" t="s">
        <v>8</v>
      </c>
      <c r="U41" s="1573">
        <f t="shared" si="11"/>
        <v>100</v>
      </c>
      <c r="V41" s="1572" t="s">
        <v>8</v>
      </c>
      <c r="W41" s="1573">
        <f t="shared" si="12"/>
        <v>100</v>
      </c>
      <c r="X41" s="1566"/>
      <c r="Y41" s="3406"/>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6"/>
      <c r="Q42" s="1571" t="str">
        <f t="shared" si="14"/>
        <v>临街宽度及深度</v>
      </c>
      <c r="R42" s="1572" t="s">
        <v>8</v>
      </c>
      <c r="S42" s="1573">
        <f t="shared" si="10"/>
        <v>100</v>
      </c>
      <c r="T42" s="1572" t="s">
        <v>8</v>
      </c>
      <c r="U42" s="1573">
        <f t="shared" si="11"/>
        <v>100</v>
      </c>
      <c r="V42" s="1572" t="s">
        <v>8</v>
      </c>
      <c r="W42" s="1573">
        <f t="shared" si="12"/>
        <v>100</v>
      </c>
      <c r="X42" s="1566"/>
      <c r="Y42" s="3406"/>
      <c r="Z42" s="1574" t="str">
        <f t="shared" si="13"/>
        <v>临街宽度及深度</v>
      </c>
      <c r="AA42" s="1575">
        <f t="shared" si="3"/>
        <v>1</v>
      </c>
      <c r="AB42" s="1575">
        <f t="shared" si="4"/>
        <v>1</v>
      </c>
      <c r="AC42" s="1575">
        <f t="shared" si="5"/>
        <v>1</v>
      </c>
    </row>
    <row r="43" spans="1:29" s="1219" customFormat="1" ht="20.25">
      <c r="A43" s="600"/>
      <c r="B43" s="1895" t="s">
        <v>2426</v>
      </c>
      <c r="C43" s="601" t="s">
        <v>3155</v>
      </c>
      <c r="D43" s="255">
        <v>100</v>
      </c>
      <c r="E43" s="601" t="s">
        <v>3155</v>
      </c>
      <c r="F43" s="540">
        <f>SUMIF(125:125,E43,126:126)-SUMIF(125:125,C43,126:126)+100</f>
        <v>100</v>
      </c>
      <c r="G43" s="601" t="s">
        <v>3155</v>
      </c>
      <c r="H43" s="540">
        <f>SUMIF(125:125,G43,126:126)-SUMIF(125:125,C43,126:126)+100</f>
        <v>100</v>
      </c>
      <c r="I43" s="601" t="s">
        <v>3155</v>
      </c>
      <c r="J43" s="540">
        <f>SUMIF(125:125,I43,126:126)-SUMIF(125:125,C43,126:126)+100</f>
        <v>100</v>
      </c>
      <c r="K43" s="584">
        <v>20</v>
      </c>
      <c r="L43" s="2135"/>
      <c r="M43" s="2132"/>
      <c r="N43" s="2132"/>
      <c r="O43" s="2137"/>
      <c r="P43" s="3406"/>
      <c r="Q43" s="1571" t="str">
        <f t="shared" si="14"/>
        <v>宗地开发程度</v>
      </c>
      <c r="R43" s="1567" t="s">
        <v>8</v>
      </c>
      <c r="S43" s="1568">
        <f t="shared" si="10"/>
        <v>100</v>
      </c>
      <c r="T43" s="1567" t="s">
        <v>8</v>
      </c>
      <c r="U43" s="1568">
        <f t="shared" si="11"/>
        <v>100</v>
      </c>
      <c r="V43" s="1567" t="s">
        <v>8</v>
      </c>
      <c r="W43" s="1568">
        <f t="shared" si="12"/>
        <v>100</v>
      </c>
      <c r="X43" s="1569"/>
      <c r="Y43" s="3406"/>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06" t="s">
        <v>549</v>
      </c>
      <c r="Q44" s="1571" t="str">
        <f t="shared" si="14"/>
        <v>工程地质条件</v>
      </c>
      <c r="R44" s="1572" t="s">
        <v>8</v>
      </c>
      <c r="S44" s="1573">
        <f t="shared" si="10"/>
        <v>100</v>
      </c>
      <c r="T44" s="1572" t="s">
        <v>8</v>
      </c>
      <c r="U44" s="1573">
        <f t="shared" si="11"/>
        <v>100</v>
      </c>
      <c r="V44" s="1572" t="s">
        <v>8</v>
      </c>
      <c r="W44" s="1573">
        <f t="shared" si="12"/>
        <v>100</v>
      </c>
      <c r="X44" s="1566"/>
      <c r="Y44" s="3406"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6"/>
      <c r="Q45" s="1571">
        <f t="shared" si="14"/>
        <v>111</v>
      </c>
      <c r="R45" s="1572" t="s">
        <v>8</v>
      </c>
      <c r="S45" s="1573">
        <f t="shared" si="10"/>
        <v>100</v>
      </c>
      <c r="T45" s="1572" t="s">
        <v>8</v>
      </c>
      <c r="U45" s="1573">
        <f t="shared" si="11"/>
        <v>100</v>
      </c>
      <c r="V45" s="1572" t="s">
        <v>8</v>
      </c>
      <c r="W45" s="1573">
        <f t="shared" si="12"/>
        <v>100</v>
      </c>
      <c r="X45" s="1566"/>
      <c r="Y45" s="3406"/>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6"/>
      <c r="Q46" s="1571">
        <f t="shared" si="14"/>
        <v>111</v>
      </c>
      <c r="R46" s="1572" t="s">
        <v>8</v>
      </c>
      <c r="S46" s="1573">
        <f t="shared" si="10"/>
        <v>100</v>
      </c>
      <c r="T46" s="1572" t="s">
        <v>8</v>
      </c>
      <c r="U46" s="1573">
        <f t="shared" si="11"/>
        <v>100</v>
      </c>
      <c r="V46" s="1572" t="s">
        <v>8</v>
      </c>
      <c r="W46" s="1573">
        <f t="shared" si="12"/>
        <v>100</v>
      </c>
      <c r="X46" s="1566"/>
      <c r="Y46" s="3406"/>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6"/>
      <c r="Q47" s="1571">
        <f t="shared" si="14"/>
        <v>111</v>
      </c>
      <c r="R47" s="1576" t="s">
        <v>8</v>
      </c>
      <c r="S47" s="1577">
        <f t="shared" si="10"/>
        <v>100</v>
      </c>
      <c r="T47" s="1576" t="s">
        <v>8</v>
      </c>
      <c r="U47" s="1577">
        <f t="shared" si="11"/>
        <v>100</v>
      </c>
      <c r="V47" s="1576" t="s">
        <v>8</v>
      </c>
      <c r="W47" s="1577">
        <f t="shared" si="12"/>
        <v>100</v>
      </c>
      <c r="X47" s="1578"/>
      <c r="Y47" s="3406"/>
      <c r="Z47" s="1579">
        <f t="shared" si="13"/>
        <v>111</v>
      </c>
      <c r="AA47" s="1575">
        <f t="shared" si="3"/>
        <v>1</v>
      </c>
      <c r="AB47" s="1575">
        <f t="shared" si="4"/>
        <v>1</v>
      </c>
      <c r="AC47" s="1575">
        <f t="shared" si="5"/>
        <v>1</v>
      </c>
    </row>
    <row r="48" spans="1:29" ht="20.25">
      <c r="A48" s="607" t="s">
        <v>555</v>
      </c>
      <c r="B48" s="608" t="s">
        <v>3145</v>
      </c>
      <c r="C48" s="609" t="s">
        <v>1</v>
      </c>
      <c r="D48" s="610"/>
      <c r="E48" s="611">
        <v>1428</v>
      </c>
      <c r="F48" s="612"/>
      <c r="G48" s="613">
        <v>1360</v>
      </c>
      <c r="H48" s="614"/>
      <c r="I48" s="611">
        <v>1260</v>
      </c>
      <c r="J48" s="614"/>
      <c r="K48" s="1339"/>
      <c r="L48" s="2144"/>
      <c r="M48" s="2132"/>
      <c r="N48" s="2132"/>
      <c r="O48" s="2145"/>
      <c r="P48" s="3369" t="str">
        <f>A48</f>
        <v>成交单价</v>
      </c>
      <c r="Q48" s="3369"/>
      <c r="R48" s="3370">
        <f>E48</f>
        <v>1428</v>
      </c>
      <c r="S48" s="3370"/>
      <c r="T48" s="3370">
        <f>G48</f>
        <v>1360</v>
      </c>
      <c r="U48" s="3370"/>
      <c r="V48" s="3370">
        <f>I48</f>
        <v>1260</v>
      </c>
      <c r="W48" s="3370"/>
      <c r="X48" s="1558"/>
      <c r="Y48" s="1580"/>
      <c r="Z48" s="1558"/>
      <c r="AA48" s="1558"/>
      <c r="AB48" s="1558"/>
      <c r="AC48" s="1558"/>
    </row>
    <row r="49" spans="1:29" ht="21" thickBot="1">
      <c r="A49" s="615" t="s">
        <v>2695</v>
      </c>
      <c r="B49" s="616"/>
      <c r="C49" s="617">
        <f>R50</f>
        <v>1281</v>
      </c>
      <c r="D49" s="618"/>
      <c r="E49" s="617">
        <f>R49</f>
        <v>1347</v>
      </c>
      <c r="F49" s="619"/>
      <c r="G49" s="620">
        <f>T49</f>
        <v>1222</v>
      </c>
      <c r="H49" s="618"/>
      <c r="I49" s="617">
        <f>V49</f>
        <v>1274</v>
      </c>
      <c r="J49" s="618"/>
      <c r="K49" s="1340"/>
      <c r="L49" s="2144"/>
      <c r="M49" s="2132"/>
      <c r="N49" s="2132"/>
      <c r="O49" s="2145"/>
      <c r="P49" s="3369" t="str">
        <f>A49</f>
        <v>比较价格（元/平方米）</v>
      </c>
      <c r="Q49" s="3369"/>
      <c r="R49" s="3371">
        <f>ROUND(PRODUCT(R48,AA9:AA47),0)</f>
        <v>1347</v>
      </c>
      <c r="S49" s="3371"/>
      <c r="T49" s="3371">
        <f>ROUND(PRODUCT(T48,AB9:AB47),0)</f>
        <v>1222</v>
      </c>
      <c r="U49" s="3371"/>
      <c r="V49" s="3371">
        <f>ROUND(PRODUCT(V48,AC9:AC47),0)</f>
        <v>1274</v>
      </c>
      <c r="W49" s="3371"/>
      <c r="X49" s="1558"/>
      <c r="Y49" s="1558"/>
      <c r="Z49" s="1558"/>
      <c r="AA49" s="1558"/>
      <c r="AB49" s="1558"/>
      <c r="AC49" s="1558"/>
    </row>
    <row r="50" spans="1:29" ht="21" thickBot="1">
      <c r="A50" s="621" t="s">
        <v>2939</v>
      </c>
      <c r="B50" s="622"/>
      <c r="C50" s="623">
        <f>R50</f>
        <v>1281</v>
      </c>
      <c r="D50" s="623"/>
      <c r="E50" s="623"/>
      <c r="F50" s="623"/>
      <c r="G50" s="623"/>
      <c r="H50" s="623"/>
      <c r="I50" s="623"/>
      <c r="J50" s="623"/>
      <c r="K50" s="1341"/>
      <c r="L50" s="2144"/>
      <c r="M50" s="2132"/>
      <c r="N50" s="2132"/>
      <c r="O50" s="2145"/>
      <c r="P50" s="3366" t="str">
        <f>A50</f>
        <v>估价对象XX用房的比较价格（楼面单价，元/平方米）</v>
      </c>
      <c r="Q50" s="3367"/>
      <c r="R50" s="3368">
        <f>ROUND(AVERAGE(R49:V49),0)</f>
        <v>1281</v>
      </c>
      <c r="S50" s="3368"/>
      <c r="T50" s="3368"/>
      <c r="U50" s="3368"/>
      <c r="V50" s="3368"/>
      <c r="W50" s="3368"/>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6.0133630289532336E-2</v>
      </c>
      <c r="F53" s="627" t="str">
        <f>IF(OR(E53&gt;=0.3,E53&lt;=-0.3),"超过30%","")</f>
        <v/>
      </c>
      <c r="G53" s="626">
        <f>IF(G48&lt;G49,G49/G48-1,G48/G49-1)</f>
        <v>0.11292962356792136</v>
      </c>
      <c r="H53" s="627" t="str">
        <f>IF(OR(G53&gt;=0.3,G53&lt;=-0.3),"超过30%","")</f>
        <v/>
      </c>
      <c r="I53" s="626">
        <f>IF(I48&lt;I49,I49/I48-1,I48/I49-1)</f>
        <v>1.1111111111111072E-2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0.10229132569558108</v>
      </c>
      <c r="F54" s="627" t="str">
        <f>IF(OR(E54&gt;=0.2,E54&lt;=-0.2),"超过20%","")</f>
        <v/>
      </c>
      <c r="G54" s="626">
        <f>IF(G49&lt;I49,I49/G49-1,G49/I49-1)</f>
        <v>4.2553191489361764E-2</v>
      </c>
      <c r="H54" s="627" t="str">
        <f>IF(OR(G54&gt;=0.2,G54&lt;=-0.2),"超过20%","")</f>
        <v/>
      </c>
      <c r="I54" s="626">
        <f>IF(I49&lt;E49,E49/I49-1,I49/E49-1)</f>
        <v>5.7299843014128715E-2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5.0000000000000044E-2</v>
      </c>
      <c r="F55" s="627" t="str">
        <f>IF(OR(E55&gt;=0.3,E55&lt;=-0.3),"超过30%","")</f>
        <v/>
      </c>
      <c r="G55" s="626">
        <f>IF(G48&lt;I48,I48/G48-1,G48/I48-1)</f>
        <v>7.9365079365079305E-2</v>
      </c>
      <c r="H55" s="627" t="str">
        <f>IF(OR(G55&gt;=0.3,G55&lt;=-0.3),"超过30%","")</f>
        <v/>
      </c>
      <c r="I55" s="626">
        <f>IF(I48&lt;E48,E48/I48-1,I48/E48-1)</f>
        <v>0.1333333333333333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395" t="s">
        <v>2283</v>
      </c>
      <c r="H57" s="3396"/>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1281</v>
      </c>
      <c r="C58" s="635">
        <v>1</v>
      </c>
      <c r="D58" s="2228">
        <v>1</v>
      </c>
      <c r="E58" s="635">
        <f>'数据-汇总表'!E8+'数据-汇总表'!E9</f>
        <v>7937</v>
      </c>
      <c r="F58" s="636">
        <f t="shared" ref="F58:F67" si="15">ROUND(B58*E58/10000,0)</f>
        <v>1017</v>
      </c>
      <c r="G58" s="3397"/>
      <c r="H58" s="3398"/>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399"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399"/>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399"/>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399"/>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7937</v>
      </c>
      <c r="F68" s="644">
        <f>IF(B48="楼面地价",SUM(F58:F67),ROUND(C50*E68/10000,0))</f>
        <v>1017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北京市平均增长率2.23%</v>
      </c>
      <c r="C73" s="894">
        <v>100</v>
      </c>
      <c r="D73" s="730">
        <v>99</v>
      </c>
      <c r="E73" s="730">
        <v>98</v>
      </c>
      <c r="F73" s="730">
        <v>97</v>
      </c>
      <c r="G73" s="730">
        <v>96</v>
      </c>
      <c r="H73" s="730">
        <v>98</v>
      </c>
      <c r="I73" s="730">
        <v>94</v>
      </c>
      <c r="J73" s="730">
        <v>93</v>
      </c>
      <c r="K73" s="730">
        <v>92</v>
      </c>
      <c r="L73" s="730">
        <v>91</v>
      </c>
      <c r="M73" s="2792"/>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9" t="s">
        <v>3154</v>
      </c>
      <c r="D77" s="3179"/>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1（含）-1.5</v>
      </c>
      <c r="E81" s="682" t="str">
        <f t="shared" si="20"/>
        <v>1.5（含）-2</v>
      </c>
      <c r="F81" s="682" t="str">
        <f t="shared" si="20"/>
        <v>2（含）-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1.5</v>
      </c>
      <c r="F82" s="541">
        <v>2</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95</v>
      </c>
      <c r="E97" s="679">
        <f>D97-$K23</f>
        <v>90</v>
      </c>
      <c r="F97" s="679">
        <f>E97-$K23</f>
        <v>85</v>
      </c>
      <c r="G97" s="679">
        <f>F97-$K23</f>
        <v>80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0" t="s">
        <v>3138</v>
      </c>
      <c r="D108" s="3180" t="s">
        <v>3139</v>
      </c>
      <c r="E108" s="3180" t="s">
        <v>3140</v>
      </c>
      <c r="F108" s="3180" t="s">
        <v>3141</v>
      </c>
      <c r="G108" s="3180" t="s">
        <v>3142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75" thickTop="1" thickBot="1">
      <c r="A121" s="735"/>
      <c r="B121" s="673" t="s">
        <v>593</v>
      </c>
      <c r="C121" s="3199" t="s">
        <v>3173</v>
      </c>
      <c r="D121" s="3200" t="s">
        <v>3174</v>
      </c>
      <c r="E121" s="3200" t="s">
        <v>3175</v>
      </c>
      <c r="F121" s="3200" t="s">
        <v>3176</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3156</v>
      </c>
      <c r="D125" s="1375" t="s">
        <v>3157</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1" fitToHeight="0" orientation="landscape"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375" t="s">
        <v>521</v>
      </c>
      <c r="D6" s="3376"/>
      <c r="E6" s="3410" t="s">
        <v>522</v>
      </c>
      <c r="F6" s="3411"/>
      <c r="G6" s="3375" t="s">
        <v>523</v>
      </c>
      <c r="H6" s="3376"/>
      <c r="I6" s="3375" t="s">
        <v>524</v>
      </c>
      <c r="J6" s="3376"/>
      <c r="K6" s="514" t="s">
        <v>525</v>
      </c>
      <c r="L6" s="2133"/>
      <c r="M6" s="2134"/>
      <c r="N6" s="2134"/>
      <c r="O6" s="2134"/>
      <c r="P6" s="3377" t="s">
        <v>526</v>
      </c>
      <c r="Q6" s="3378"/>
      <c r="R6" s="3383" t="s">
        <v>522</v>
      </c>
      <c r="S6" s="3384"/>
      <c r="T6" s="3383" t="s">
        <v>523</v>
      </c>
      <c r="U6" s="3384"/>
      <c r="V6" s="3370" t="s">
        <v>524</v>
      </c>
      <c r="W6" s="3370"/>
      <c r="X6" s="1566"/>
      <c r="Y6" s="3383" t="s">
        <v>526</v>
      </c>
      <c r="Z6" s="3384"/>
      <c r="AA6" s="3372" t="s">
        <v>522</v>
      </c>
      <c r="AB6" s="3373" t="s">
        <v>523</v>
      </c>
      <c r="AC6" s="3372" t="s">
        <v>524</v>
      </c>
    </row>
    <row r="7" spans="1:29" ht="15">
      <c r="A7" s="515"/>
      <c r="B7" s="516"/>
      <c r="C7" s="3407" t="s">
        <v>2933</v>
      </c>
      <c r="D7" s="3392"/>
      <c r="E7" s="3412" t="s">
        <v>2934</v>
      </c>
      <c r="F7" s="3413"/>
      <c r="G7" s="3407" t="s">
        <v>2935</v>
      </c>
      <c r="H7" s="3392"/>
      <c r="I7" s="3407" t="s">
        <v>2936</v>
      </c>
      <c r="J7" s="3392"/>
      <c r="K7" s="514"/>
      <c r="L7" s="2133"/>
      <c r="M7" s="2134"/>
      <c r="N7" s="2134"/>
      <c r="O7" s="2134"/>
      <c r="P7" s="3379"/>
      <c r="Q7" s="3380"/>
      <c r="R7" s="3385"/>
      <c r="S7" s="3386"/>
      <c r="T7" s="3385"/>
      <c r="U7" s="3386"/>
      <c r="V7" s="3370"/>
      <c r="W7" s="3370"/>
      <c r="X7" s="1566"/>
      <c r="Y7" s="3385"/>
      <c r="Z7" s="3386"/>
      <c r="AA7" s="3373"/>
      <c r="AB7" s="3373"/>
      <c r="AC7" s="3373"/>
    </row>
    <row r="8" spans="1:29" ht="15.75" thickBot="1">
      <c r="A8" s="517"/>
      <c r="B8" s="518"/>
      <c r="C8" s="3389" t="s">
        <v>2937</v>
      </c>
      <c r="D8" s="3390"/>
      <c r="E8" s="3408" t="s">
        <v>2937</v>
      </c>
      <c r="F8" s="3409"/>
      <c r="G8" s="3389" t="s">
        <v>2937</v>
      </c>
      <c r="H8" s="3390"/>
      <c r="I8" s="3389" t="s">
        <v>2937</v>
      </c>
      <c r="J8" s="3390"/>
      <c r="K8" s="514" t="s">
        <v>527</v>
      </c>
      <c r="L8" s="2133"/>
      <c r="M8" s="2134"/>
      <c r="N8" s="2134"/>
      <c r="O8" s="2134"/>
      <c r="P8" s="3381"/>
      <c r="Q8" s="3382"/>
      <c r="R8" s="3385"/>
      <c r="S8" s="3386"/>
      <c r="T8" s="3387"/>
      <c r="U8" s="3388"/>
      <c r="V8" s="3370"/>
      <c r="W8" s="3370"/>
      <c r="X8" s="1566"/>
      <c r="Y8" s="3387"/>
      <c r="Z8" s="3388"/>
      <c r="AA8" s="3374"/>
      <c r="AB8" s="3374"/>
      <c r="AC8" s="3374"/>
    </row>
    <row r="9" spans="1:29" s="1219" customFormat="1" ht="15.75" thickBot="1">
      <c r="A9" s="2912"/>
      <c r="B9" s="2919" t="s">
        <v>528</v>
      </c>
      <c r="C9" s="519">
        <f>'数据-取费表'!B2</f>
        <v>43334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0" t="s">
        <v>529</v>
      </c>
      <c r="Q9" s="3402"/>
      <c r="R9" s="1567" t="s">
        <v>8</v>
      </c>
      <c r="S9" s="1568">
        <f t="shared" ref="S9:S17" si="0">F9</f>
        <v>0</v>
      </c>
      <c r="T9" s="1567" t="s">
        <v>8</v>
      </c>
      <c r="U9" s="1568">
        <f t="shared" ref="U9:U17" si="1">H9</f>
        <v>0</v>
      </c>
      <c r="V9" s="1567" t="s">
        <v>8</v>
      </c>
      <c r="W9" s="1568">
        <f t="shared" ref="W9:W17" si="2">J9</f>
        <v>0</v>
      </c>
      <c r="X9" s="1569"/>
      <c r="Y9" s="3400" t="s">
        <v>529</v>
      </c>
      <c r="Z9" s="3401"/>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0" t="s">
        <v>532</v>
      </c>
      <c r="Q10" s="3401"/>
      <c r="R10" s="1567" t="s">
        <v>8</v>
      </c>
      <c r="S10" s="1568">
        <f t="shared" si="0"/>
        <v>0</v>
      </c>
      <c r="T10" s="1567" t="s">
        <v>8</v>
      </c>
      <c r="U10" s="1568">
        <f t="shared" si="1"/>
        <v>0</v>
      </c>
      <c r="V10" s="1567" t="s">
        <v>8</v>
      </c>
      <c r="W10" s="1568">
        <f t="shared" si="2"/>
        <v>0</v>
      </c>
      <c r="X10" s="1569"/>
      <c r="Y10" s="3400" t="s">
        <v>532</v>
      </c>
      <c r="Z10" s="3401"/>
      <c r="AA10" s="1570" t="e">
        <f t="shared" ref="AA10:AA42" si="3">D10/F10</f>
        <v>#DIV/0!</v>
      </c>
      <c r="AB10" s="1570" t="e">
        <f t="shared" ref="AB10:AB42" si="4">D10/H10</f>
        <v>#DIV/0!</v>
      </c>
      <c r="AC10" s="1570"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9" t="s">
        <v>534</v>
      </c>
      <c r="Q11" s="1150" t="str">
        <f t="shared" ref="Q11:Q17" si="6">B11</f>
        <v>用途</v>
      </c>
      <c r="R11" s="1567" t="s">
        <v>8</v>
      </c>
      <c r="S11" s="1568">
        <f t="shared" si="0"/>
        <v>100</v>
      </c>
      <c r="T11" s="1567" t="s">
        <v>8</v>
      </c>
      <c r="U11" s="1568">
        <f t="shared" si="1"/>
        <v>100</v>
      </c>
      <c r="V11" s="1567" t="s">
        <v>8</v>
      </c>
      <c r="W11" s="1568">
        <f t="shared" si="2"/>
        <v>100</v>
      </c>
      <c r="X11" s="1569"/>
      <c r="Y11" s="3315" t="s">
        <v>535</v>
      </c>
      <c r="Z11" s="1149" t="str">
        <f t="shared" ref="Z11:Z17" si="7">Q11</f>
        <v>用途</v>
      </c>
      <c r="AA11" s="1570">
        <f t="shared" si="3"/>
        <v>1</v>
      </c>
      <c r="AB11" s="1570">
        <f t="shared" si="4"/>
        <v>1</v>
      </c>
      <c r="AC11" s="1570">
        <f t="shared" si="5"/>
        <v>1</v>
      </c>
    </row>
    <row r="12" spans="1:29" s="1337" customFormat="1" ht="27">
      <c r="A12" s="2915"/>
      <c r="B12" s="2920" t="s">
        <v>2759</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369"/>
      <c r="Q12" s="1150" t="str">
        <f t="shared" si="6"/>
        <v>土地使用年限（年）</v>
      </c>
      <c r="R12" s="1567" t="s">
        <v>8</v>
      </c>
      <c r="S12" s="1568">
        <f t="shared" si="0"/>
        <v>103</v>
      </c>
      <c r="T12" s="1567" t="s">
        <v>8</v>
      </c>
      <c r="U12" s="1568">
        <f t="shared" si="1"/>
        <v>103</v>
      </c>
      <c r="V12" s="1567" t="s">
        <v>8</v>
      </c>
      <c r="W12" s="1568">
        <f t="shared" si="2"/>
        <v>103</v>
      </c>
      <c r="X12" s="1569"/>
      <c r="Y12" s="3315"/>
      <c r="Z12" s="1149" t="str">
        <f t="shared" si="7"/>
        <v>土地使用年限（年）</v>
      </c>
      <c r="AA12" s="1570">
        <f t="shared" si="3"/>
        <v>0.970873786407767</v>
      </c>
      <c r="AB12" s="1570">
        <f t="shared" si="4"/>
        <v>0.970873786407767</v>
      </c>
      <c r="AC12" s="1570">
        <f t="shared" si="5"/>
        <v>0.970873786407767</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9"/>
      <c r="Q13" s="1150" t="str">
        <f t="shared" si="6"/>
        <v>容积率</v>
      </c>
      <c r="R13" s="1567" t="s">
        <v>8</v>
      </c>
      <c r="S13" s="1568" t="e">
        <f t="shared" si="0"/>
        <v>#N/A</v>
      </c>
      <c r="T13" s="1567" t="s">
        <v>8</v>
      </c>
      <c r="U13" s="1568" t="e">
        <f t="shared" si="1"/>
        <v>#N/A</v>
      </c>
      <c r="V13" s="1567" t="s">
        <v>8</v>
      </c>
      <c r="W13" s="1568" t="e">
        <f t="shared" si="2"/>
        <v>#N/A</v>
      </c>
      <c r="X13" s="1569"/>
      <c r="Y13" s="3315"/>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9"/>
      <c r="Q14" s="1150">
        <f t="shared" si="6"/>
        <v>111</v>
      </c>
      <c r="R14" s="1567" t="s">
        <v>8</v>
      </c>
      <c r="S14" s="1568">
        <f t="shared" si="0"/>
        <v>100</v>
      </c>
      <c r="T14" s="1567" t="s">
        <v>8</v>
      </c>
      <c r="U14" s="1568">
        <f t="shared" si="1"/>
        <v>100</v>
      </c>
      <c r="V14" s="1567" t="s">
        <v>8</v>
      </c>
      <c r="W14" s="1568">
        <f t="shared" si="2"/>
        <v>100</v>
      </c>
      <c r="X14" s="1569"/>
      <c r="Y14" s="3315"/>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9"/>
      <c r="Q15" s="1150">
        <f t="shared" si="6"/>
        <v>111</v>
      </c>
      <c r="R15" s="1567" t="s">
        <v>8</v>
      </c>
      <c r="S15" s="1568">
        <f t="shared" si="0"/>
        <v>100</v>
      </c>
      <c r="T15" s="1567" t="s">
        <v>8</v>
      </c>
      <c r="U15" s="1568">
        <f t="shared" si="1"/>
        <v>100</v>
      </c>
      <c r="V15" s="1567" t="s">
        <v>8</v>
      </c>
      <c r="W15" s="1568">
        <f t="shared" si="2"/>
        <v>100</v>
      </c>
      <c r="X15" s="1569"/>
      <c r="Y15" s="3315"/>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9"/>
      <c r="Q16" s="1150">
        <f t="shared" si="6"/>
        <v>111</v>
      </c>
      <c r="R16" s="1567" t="s">
        <v>8</v>
      </c>
      <c r="S16" s="1568">
        <f t="shared" si="0"/>
        <v>100</v>
      </c>
      <c r="T16" s="1567" t="s">
        <v>8</v>
      </c>
      <c r="U16" s="1568">
        <f t="shared" si="1"/>
        <v>100</v>
      </c>
      <c r="V16" s="1567" t="s">
        <v>8</v>
      </c>
      <c r="W16" s="1568">
        <f t="shared" si="2"/>
        <v>100</v>
      </c>
      <c r="X16" s="1569"/>
      <c r="Y16" s="3315"/>
      <c r="Z16" s="1149">
        <f t="shared" si="7"/>
        <v>111</v>
      </c>
      <c r="AA16" s="1570">
        <f t="shared" si="3"/>
        <v>1</v>
      </c>
      <c r="AB16" s="1570">
        <f t="shared" si="4"/>
        <v>1</v>
      </c>
      <c r="AC16" s="1570">
        <f t="shared" si="5"/>
        <v>1</v>
      </c>
    </row>
    <row r="17" spans="1:29" ht="57">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3" t="s">
        <v>539</v>
      </c>
      <c r="Q17" s="1571" t="str">
        <f t="shared" si="6"/>
        <v>产业集聚程度</v>
      </c>
      <c r="R17" s="1572" t="s">
        <v>8</v>
      </c>
      <c r="S17" s="1573">
        <f t="shared" si="0"/>
        <v>100</v>
      </c>
      <c r="T17" s="1572" t="s">
        <v>8</v>
      </c>
      <c r="U17" s="1573">
        <f t="shared" si="1"/>
        <v>100</v>
      </c>
      <c r="V17" s="1572" t="s">
        <v>8</v>
      </c>
      <c r="W17" s="1573">
        <f t="shared" si="2"/>
        <v>100</v>
      </c>
      <c r="X17" s="1566"/>
      <c r="Y17" s="3403"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04"/>
      <c r="Q18" s="1571"/>
      <c r="R18" s="1572"/>
      <c r="S18" s="1573"/>
      <c r="T18" s="1572"/>
      <c r="U18" s="1573"/>
      <c r="V18" s="1572"/>
      <c r="W18" s="1573"/>
      <c r="X18" s="1566"/>
      <c r="Y18" s="3404"/>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4"/>
      <c r="Q19" s="1571" t="str">
        <f>B19</f>
        <v>交通便捷度</v>
      </c>
      <c r="R19" s="1572" t="s">
        <v>8</v>
      </c>
      <c r="S19" s="1573">
        <f>F19</f>
        <v>100</v>
      </c>
      <c r="T19" s="1572" t="s">
        <v>8</v>
      </c>
      <c r="U19" s="1573">
        <f>H19</f>
        <v>100</v>
      </c>
      <c r="V19" s="1572" t="s">
        <v>8</v>
      </c>
      <c r="W19" s="1573">
        <f>J19</f>
        <v>100</v>
      </c>
      <c r="X19" s="1566"/>
      <c r="Y19" s="3404"/>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04"/>
      <c r="Q20" s="1571"/>
      <c r="R20" s="1572"/>
      <c r="S20" s="1573"/>
      <c r="T20" s="1572"/>
      <c r="U20" s="1573"/>
      <c r="V20" s="1572"/>
      <c r="W20" s="1573"/>
      <c r="X20" s="1566"/>
      <c r="Y20" s="3404"/>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4"/>
      <c r="Q21" s="1571" t="str">
        <f t="shared" ref="Q21:Q35" si="8">B21</f>
        <v>区域土地利用方向</v>
      </c>
      <c r="R21" s="1572" t="s">
        <v>8</v>
      </c>
      <c r="S21" s="1573">
        <f>F21</f>
        <v>100</v>
      </c>
      <c r="T21" s="1572" t="s">
        <v>8</v>
      </c>
      <c r="U21" s="1573">
        <f>H21</f>
        <v>100</v>
      </c>
      <c r="V21" s="1572" t="s">
        <v>8</v>
      </c>
      <c r="W21" s="1573">
        <f>J21</f>
        <v>100</v>
      </c>
      <c r="X21" s="1566"/>
      <c r="Y21" s="3404"/>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04"/>
      <c r="Q22" s="1571"/>
      <c r="R22" s="1572"/>
      <c r="S22" s="1573"/>
      <c r="T22" s="1572"/>
      <c r="U22" s="1573"/>
      <c r="V22" s="1572"/>
      <c r="W22" s="1573"/>
      <c r="X22" s="1566"/>
      <c r="Y22" s="3404"/>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4"/>
      <c r="Q23" s="1571" t="str">
        <f t="shared" si="8"/>
        <v>环境状况</v>
      </c>
      <c r="R23" s="1572" t="s">
        <v>8</v>
      </c>
      <c r="S23" s="1573">
        <f>F23</f>
        <v>100</v>
      </c>
      <c r="T23" s="1572" t="s">
        <v>8</v>
      </c>
      <c r="U23" s="1573">
        <f>H23</f>
        <v>100</v>
      </c>
      <c r="V23" s="1572" t="s">
        <v>8</v>
      </c>
      <c r="W23" s="1573">
        <f>J23</f>
        <v>100</v>
      </c>
      <c r="X23" s="1566"/>
      <c r="Y23" s="3404"/>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04"/>
      <c r="Q24" s="1571"/>
      <c r="R24" s="1572"/>
      <c r="S24" s="1573"/>
      <c r="T24" s="1572"/>
      <c r="U24" s="1573"/>
      <c r="V24" s="1572"/>
      <c r="W24" s="1573"/>
      <c r="X24" s="1566"/>
      <c r="Y24" s="3404"/>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4"/>
      <c r="Q25" s="1150" t="str">
        <f t="shared" si="8"/>
        <v>公共配套设施</v>
      </c>
      <c r="R25" s="1567" t="s">
        <v>8</v>
      </c>
      <c r="S25" s="1568">
        <f>F25</f>
        <v>100</v>
      </c>
      <c r="T25" s="1567" t="s">
        <v>8</v>
      </c>
      <c r="U25" s="1568">
        <f>H25</f>
        <v>100</v>
      </c>
      <c r="V25" s="1567" t="s">
        <v>8</v>
      </c>
      <c r="W25" s="1568">
        <f>J25</f>
        <v>100</v>
      </c>
      <c r="X25" s="1569"/>
      <c r="Y25" s="3404"/>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04"/>
      <c r="Q26" s="1150"/>
      <c r="R26" s="1567"/>
      <c r="S26" s="1568"/>
      <c r="T26" s="1567"/>
      <c r="U26" s="1568"/>
      <c r="V26" s="1567"/>
      <c r="W26" s="1568"/>
      <c r="X26" s="1569"/>
      <c r="Y26" s="3404"/>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4"/>
      <c r="Q27" s="2578" t="str">
        <f t="shared" ref="Q27" si="9">B27</f>
        <v>基础设施水平</v>
      </c>
      <c r="R27" s="1567" t="s">
        <v>8</v>
      </c>
      <c r="S27" s="1568">
        <f>F27</f>
        <v>100</v>
      </c>
      <c r="T27" s="1567" t="s">
        <v>8</v>
      </c>
      <c r="U27" s="1568">
        <f>H27</f>
        <v>100</v>
      </c>
      <c r="V27" s="1567" t="s">
        <v>8</v>
      </c>
      <c r="W27" s="1568">
        <f>J27</f>
        <v>100</v>
      </c>
      <c r="X27" s="1569"/>
      <c r="Y27" s="3404"/>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04"/>
      <c r="Q28" s="2578"/>
      <c r="R28" s="1567"/>
      <c r="S28" s="1568"/>
      <c r="T28" s="1567"/>
      <c r="U28" s="1568"/>
      <c r="V28" s="1567"/>
      <c r="W28" s="1568"/>
      <c r="X28" s="1569"/>
      <c r="Y28" s="3404"/>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4"/>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4"/>
      <c r="Q30" s="1571" t="str">
        <f t="shared" si="8"/>
        <v>毗邻道路的类型与等级</v>
      </c>
      <c r="R30" s="1572" t="s">
        <v>8</v>
      </c>
      <c r="S30" s="1573">
        <f t="shared" si="10"/>
        <v>100</v>
      </c>
      <c r="T30" s="1572" t="s">
        <v>8</v>
      </c>
      <c r="U30" s="1573">
        <f t="shared" si="11"/>
        <v>100</v>
      </c>
      <c r="V30" s="1572" t="s">
        <v>8</v>
      </c>
      <c r="W30" s="1573">
        <f t="shared" si="12"/>
        <v>100</v>
      </c>
      <c r="X30" s="1566"/>
      <c r="Y30" s="3404"/>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04"/>
      <c r="Q31" s="1571"/>
      <c r="R31" s="1572"/>
      <c r="S31" s="1573"/>
      <c r="T31" s="1572"/>
      <c r="U31" s="1573"/>
      <c r="V31" s="1572"/>
      <c r="W31" s="1573"/>
      <c r="X31" s="1566"/>
      <c r="Y31" s="3404"/>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4"/>
      <c r="Q32" s="1571" t="str">
        <f t="shared" si="8"/>
        <v>土地级别</v>
      </c>
      <c r="R32" s="1572" t="s">
        <v>8</v>
      </c>
      <c r="S32" s="1573">
        <f t="shared" si="10"/>
        <v>100</v>
      </c>
      <c r="T32" s="1572" t="s">
        <v>8</v>
      </c>
      <c r="U32" s="1573">
        <f t="shared" si="11"/>
        <v>100</v>
      </c>
      <c r="V32" s="1572" t="s">
        <v>8</v>
      </c>
      <c r="W32" s="1573">
        <f t="shared" si="12"/>
        <v>100</v>
      </c>
      <c r="X32" s="1566"/>
      <c r="Y32" s="3404"/>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4"/>
      <c r="Q33" s="1571">
        <f t="shared" si="8"/>
        <v>111</v>
      </c>
      <c r="R33" s="1572" t="s">
        <v>8</v>
      </c>
      <c r="S33" s="1573">
        <f t="shared" si="10"/>
        <v>100</v>
      </c>
      <c r="T33" s="1572" t="s">
        <v>8</v>
      </c>
      <c r="U33" s="1573">
        <f t="shared" si="11"/>
        <v>100</v>
      </c>
      <c r="V33" s="1572" t="s">
        <v>8</v>
      </c>
      <c r="W33" s="1573">
        <f t="shared" si="12"/>
        <v>100</v>
      </c>
      <c r="X33" s="1566"/>
      <c r="Y33" s="3404"/>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5" t="s">
        <v>549</v>
      </c>
      <c r="Q34" s="1571">
        <f t="shared" si="8"/>
        <v>111</v>
      </c>
      <c r="R34" s="1572" t="s">
        <v>8</v>
      </c>
      <c r="S34" s="1573">
        <f t="shared" si="10"/>
        <v>100</v>
      </c>
      <c r="T34" s="1572" t="s">
        <v>8</v>
      </c>
      <c r="U34" s="1573">
        <f t="shared" si="11"/>
        <v>100</v>
      </c>
      <c r="V34" s="1572" t="s">
        <v>8</v>
      </c>
      <c r="W34" s="1573">
        <f t="shared" si="12"/>
        <v>100</v>
      </c>
      <c r="X34" s="1566"/>
      <c r="Y34" s="3406"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6"/>
      <c r="Q35" s="1571">
        <f t="shared" si="8"/>
        <v>111</v>
      </c>
      <c r="R35" s="1576" t="s">
        <v>8</v>
      </c>
      <c r="S35" s="1577">
        <f t="shared" si="10"/>
        <v>100</v>
      </c>
      <c r="T35" s="1576" t="s">
        <v>8</v>
      </c>
      <c r="U35" s="1577">
        <f t="shared" si="11"/>
        <v>100</v>
      </c>
      <c r="V35" s="1576" t="s">
        <v>8</v>
      </c>
      <c r="W35" s="1577">
        <f t="shared" si="12"/>
        <v>100</v>
      </c>
      <c r="X35" s="1578"/>
      <c r="Y35" s="3406"/>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6"/>
      <c r="Q36" s="1571" t="str">
        <f>B36</f>
        <v>宗地面积</v>
      </c>
      <c r="R36" s="1572" t="s">
        <v>8</v>
      </c>
      <c r="S36" s="1573" t="e">
        <f t="shared" si="10"/>
        <v>#N/A</v>
      </c>
      <c r="T36" s="1572" t="s">
        <v>8</v>
      </c>
      <c r="U36" s="1573" t="e">
        <f t="shared" si="11"/>
        <v>#N/A</v>
      </c>
      <c r="V36" s="1572" t="s">
        <v>8</v>
      </c>
      <c r="W36" s="1573" t="e">
        <f t="shared" si="12"/>
        <v>#N/A</v>
      </c>
      <c r="X36" s="1566"/>
      <c r="Y36" s="3406"/>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6"/>
      <c r="Q37" s="1571" t="str">
        <f t="shared" ref="Q37:Q42" si="14">B37</f>
        <v>宗地形状</v>
      </c>
      <c r="R37" s="1572" t="s">
        <v>8</v>
      </c>
      <c r="S37" s="1573">
        <f t="shared" si="10"/>
        <v>100</v>
      </c>
      <c r="T37" s="1572" t="s">
        <v>8</v>
      </c>
      <c r="U37" s="1573">
        <f t="shared" si="11"/>
        <v>100</v>
      </c>
      <c r="V37" s="1572" t="s">
        <v>8</v>
      </c>
      <c r="W37" s="1573">
        <f t="shared" si="12"/>
        <v>100</v>
      </c>
      <c r="X37" s="1566"/>
      <c r="Y37" s="3406"/>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6"/>
      <c r="Q38" s="1571" t="str">
        <f t="shared" si="14"/>
        <v>宗地开发程度</v>
      </c>
      <c r="R38" s="1567" t="s">
        <v>8</v>
      </c>
      <c r="S38" s="1568">
        <f t="shared" si="10"/>
        <v>100</v>
      </c>
      <c r="T38" s="1567" t="s">
        <v>8</v>
      </c>
      <c r="U38" s="1568">
        <f t="shared" si="11"/>
        <v>100</v>
      </c>
      <c r="V38" s="1567" t="s">
        <v>8</v>
      </c>
      <c r="W38" s="1568">
        <f t="shared" si="12"/>
        <v>100</v>
      </c>
      <c r="X38" s="1569"/>
      <c r="Y38" s="3406"/>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6" t="s">
        <v>600</v>
      </c>
      <c r="Q39" s="1571" t="str">
        <f t="shared" si="14"/>
        <v>工程地质条件</v>
      </c>
      <c r="R39" s="1572" t="s">
        <v>8</v>
      </c>
      <c r="S39" s="1573">
        <f t="shared" si="10"/>
        <v>100</v>
      </c>
      <c r="T39" s="1572" t="s">
        <v>8</v>
      </c>
      <c r="U39" s="1573">
        <f t="shared" si="11"/>
        <v>100</v>
      </c>
      <c r="V39" s="1572" t="s">
        <v>8</v>
      </c>
      <c r="W39" s="1573">
        <f t="shared" si="12"/>
        <v>100</v>
      </c>
      <c r="X39" s="1566"/>
      <c r="Y39" s="3406"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6"/>
      <c r="Q40" s="1571">
        <f t="shared" si="14"/>
        <v>111</v>
      </c>
      <c r="R40" s="1572" t="s">
        <v>8</v>
      </c>
      <c r="S40" s="1573">
        <f t="shared" si="10"/>
        <v>100</v>
      </c>
      <c r="T40" s="1572" t="s">
        <v>8</v>
      </c>
      <c r="U40" s="1573">
        <f t="shared" si="11"/>
        <v>100</v>
      </c>
      <c r="V40" s="1572" t="s">
        <v>8</v>
      </c>
      <c r="W40" s="1573">
        <f t="shared" si="12"/>
        <v>100</v>
      </c>
      <c r="X40" s="1566"/>
      <c r="Y40" s="3406"/>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6"/>
      <c r="Q41" s="1571">
        <f t="shared" si="14"/>
        <v>111</v>
      </c>
      <c r="R41" s="1572" t="s">
        <v>8</v>
      </c>
      <c r="S41" s="1573">
        <f t="shared" si="10"/>
        <v>100</v>
      </c>
      <c r="T41" s="1572" t="s">
        <v>8</v>
      </c>
      <c r="U41" s="1573">
        <f t="shared" si="11"/>
        <v>100</v>
      </c>
      <c r="V41" s="1572" t="s">
        <v>8</v>
      </c>
      <c r="W41" s="1573">
        <f t="shared" si="12"/>
        <v>100</v>
      </c>
      <c r="X41" s="1566"/>
      <c r="Y41" s="3406"/>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6"/>
      <c r="Q42" s="1571">
        <f t="shared" si="14"/>
        <v>111</v>
      </c>
      <c r="R42" s="1576" t="s">
        <v>8</v>
      </c>
      <c r="S42" s="1577">
        <f t="shared" si="10"/>
        <v>100</v>
      </c>
      <c r="T42" s="1576" t="s">
        <v>8</v>
      </c>
      <c r="U42" s="1577">
        <f t="shared" si="11"/>
        <v>100</v>
      </c>
      <c r="V42" s="1576" t="s">
        <v>8</v>
      </c>
      <c r="W42" s="1577">
        <f t="shared" si="12"/>
        <v>100</v>
      </c>
      <c r="X42" s="1578"/>
      <c r="Y42" s="3406"/>
      <c r="Z42" s="1579">
        <f t="shared" si="13"/>
        <v>111</v>
      </c>
      <c r="AA42" s="1575">
        <f t="shared" si="3"/>
        <v>1</v>
      </c>
      <c r="AB42" s="1575">
        <f t="shared" si="4"/>
        <v>1</v>
      </c>
      <c r="AC42" s="1575">
        <f t="shared" si="5"/>
        <v>1</v>
      </c>
    </row>
    <row r="43" spans="1:29" ht="15">
      <c r="A43" s="607" t="s">
        <v>555</v>
      </c>
      <c r="B43" s="608" t="s">
        <v>2938</v>
      </c>
      <c r="C43" s="609" t="s">
        <v>1</v>
      </c>
      <c r="D43" s="610"/>
      <c r="E43" s="611"/>
      <c r="F43" s="612"/>
      <c r="G43" s="613"/>
      <c r="H43" s="614"/>
      <c r="I43" s="611"/>
      <c r="J43" s="614"/>
      <c r="K43" s="1339"/>
      <c r="L43" s="2144"/>
      <c r="M43" s="2134"/>
      <c r="N43" s="2134"/>
      <c r="O43" s="2145"/>
      <c r="P43" s="3369" t="str">
        <f>A43</f>
        <v>成交单价</v>
      </c>
      <c r="Q43" s="3369"/>
      <c r="R43" s="3370">
        <f>E43</f>
        <v>0</v>
      </c>
      <c r="S43" s="3370"/>
      <c r="T43" s="3370">
        <f>G43</f>
        <v>0</v>
      </c>
      <c r="U43" s="3370"/>
      <c r="V43" s="3370">
        <f>I43</f>
        <v>0</v>
      </c>
      <c r="W43" s="3370"/>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369" t="str">
        <f>A44</f>
        <v>比较价格（元/平方米）</v>
      </c>
      <c r="Q44" s="3369"/>
      <c r="R44" s="3371" t="e">
        <f>ROUND(PRODUCT(R43,AA9:AA42),0)</f>
        <v>#DIV/0!</v>
      </c>
      <c r="S44" s="3371"/>
      <c r="T44" s="3371" t="e">
        <f>ROUND(PRODUCT(T43,AB9:AB42),0)</f>
        <v>#DIV/0!</v>
      </c>
      <c r="U44" s="3371"/>
      <c r="V44" s="3371" t="e">
        <f>ROUND(PRODUCT(V43,AC9:AC42),0)</f>
        <v>#DIV/0!</v>
      </c>
      <c r="W44" s="3371"/>
      <c r="X44" s="1558"/>
      <c r="Y44" s="1558"/>
      <c r="Z44" s="1558"/>
      <c r="AA44" s="1558"/>
      <c r="AB44" s="1558"/>
      <c r="AC44" s="1558"/>
    </row>
    <row r="45" spans="1:29" ht="15.75" thickBot="1">
      <c r="A45" s="621" t="s">
        <v>2939</v>
      </c>
      <c r="B45" s="622"/>
      <c r="C45" s="623" t="e">
        <f>R45</f>
        <v>#DIV/0!</v>
      </c>
      <c r="D45" s="623"/>
      <c r="E45" s="623"/>
      <c r="F45" s="623"/>
      <c r="G45" s="623"/>
      <c r="H45" s="623"/>
      <c r="I45" s="623"/>
      <c r="J45" s="623"/>
      <c r="K45" s="1341"/>
      <c r="L45" s="2144"/>
      <c r="M45" s="2134"/>
      <c r="N45" s="2134"/>
      <c r="O45" s="2145"/>
      <c r="P45" s="3366" t="str">
        <f>A45</f>
        <v>估价对象XX用房的比较价格（楼面单价，元/平方米）</v>
      </c>
      <c r="Q45" s="3367"/>
      <c r="R45" s="3368" t="e">
        <f>ROUND(AVERAGE(R44:V44),0)</f>
        <v>#DIV/0!</v>
      </c>
      <c r="S45" s="3368"/>
      <c r="T45" s="3368"/>
      <c r="U45" s="3368"/>
      <c r="V45" s="3368"/>
      <c r="W45" s="3368"/>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14" t="s">
        <v>2286</v>
      </c>
      <c r="H52" s="3415"/>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7937</v>
      </c>
      <c r="F53" s="1950" t="e">
        <f t="shared" ref="F53:F62" si="15">ROUND(B53*E53/10000,0)</f>
        <v>#DIV/0!</v>
      </c>
      <c r="G53" s="3416"/>
      <c r="H53" s="341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18"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18"/>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18"/>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18"/>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6614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2940</v>
      </c>
      <c r="G3" s="1038">
        <f>IF(F3="宗地容积率",'数据-汇总表'!I4,IF(F3="估价对象容积率",'数据-汇总表'!I6,'数据-汇总表'!I7))</f>
        <v>1.2</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8"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1.2</v>
      </c>
      <c r="AA7" s="2192"/>
      <c r="AB7" s="2192"/>
      <c r="AC7" s="2193"/>
      <c r="AD7" s="2929"/>
      <c r="AE7" s="2929"/>
      <c r="AF7" s="2929"/>
      <c r="AG7" s="2929"/>
      <c r="AH7" s="2929"/>
      <c r="AI7" s="2929"/>
      <c r="AJ7" s="2930"/>
    </row>
    <row r="8" spans="1:39" ht="15">
      <c r="A8" s="3429"/>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0" t="s">
        <v>2785</v>
      </c>
      <c r="X8" s="3421"/>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29"/>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19"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9"/>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1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9"/>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19" t="s">
        <v>2783</v>
      </c>
      <c r="X11" s="1047" t="s">
        <v>2768</v>
      </c>
      <c r="Y11" s="1652">
        <f>$G$3</f>
        <v>1.2</v>
      </c>
      <c r="Z11" s="1652">
        <f t="shared" ref="Z11:AJ11" si="3">$G$3</f>
        <v>1.2</v>
      </c>
      <c r="AA11" s="1652">
        <f t="shared" si="3"/>
        <v>1.2</v>
      </c>
      <c r="AB11" s="1652">
        <f t="shared" si="3"/>
        <v>1.2</v>
      </c>
      <c r="AC11" s="1652">
        <f t="shared" si="3"/>
        <v>1.2</v>
      </c>
      <c r="AD11" s="1652">
        <f t="shared" si="3"/>
        <v>1.2</v>
      </c>
      <c r="AE11" s="1652">
        <f t="shared" si="3"/>
        <v>1.2</v>
      </c>
      <c r="AF11" s="1652">
        <f t="shared" si="3"/>
        <v>1.2</v>
      </c>
      <c r="AG11" s="1652">
        <f t="shared" si="3"/>
        <v>1.2</v>
      </c>
      <c r="AH11" s="1652">
        <f t="shared" si="3"/>
        <v>1.2</v>
      </c>
      <c r="AI11" s="1652">
        <f t="shared" si="3"/>
        <v>1.2</v>
      </c>
      <c r="AJ11" s="1652">
        <f t="shared" si="3"/>
        <v>1.2</v>
      </c>
    </row>
    <row r="12" spans="1:39" ht="25.5" thickBot="1">
      <c r="A12" s="3428"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19"/>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0"/>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19"/>
      <c r="X13" s="2934"/>
      <c r="Y13" s="2933">
        <f>(-0.163*(Y12^2)-0.59*Y12+7617)*(10^(-4))/Y11</f>
        <v>0.63475000000000004</v>
      </c>
      <c r="Z13" s="2933">
        <f t="shared" ref="Z13:AJ13" si="5">(-0.163*(Z12^2)-0.59*Z12+7617)*(10^(-4))/Z11</f>
        <v>0.63475000000000004</v>
      </c>
      <c r="AA13" s="2933">
        <f t="shared" si="5"/>
        <v>0.63475000000000004</v>
      </c>
      <c r="AB13" s="2933">
        <f t="shared" si="5"/>
        <v>0.63475000000000004</v>
      </c>
      <c r="AC13" s="2933">
        <f t="shared" si="5"/>
        <v>0.63475000000000004</v>
      </c>
      <c r="AD13" s="2933">
        <f t="shared" si="5"/>
        <v>0.63475000000000004</v>
      </c>
      <c r="AE13" s="2933">
        <f t="shared" si="5"/>
        <v>0.63475000000000004</v>
      </c>
      <c r="AF13" s="2933">
        <f t="shared" si="5"/>
        <v>0.63475000000000004</v>
      </c>
      <c r="AG13" s="2933">
        <f t="shared" si="5"/>
        <v>0.63475000000000004</v>
      </c>
      <c r="AH13" s="2933">
        <f t="shared" si="5"/>
        <v>0.63475000000000004</v>
      </c>
      <c r="AI13" s="2933">
        <f t="shared" si="5"/>
        <v>0.63475000000000004</v>
      </c>
      <c r="AJ13" s="2933">
        <f t="shared" si="5"/>
        <v>0.63475000000000004</v>
      </c>
    </row>
    <row r="14" spans="1:39" ht="12.75" customHeight="1" thickBot="1">
      <c r="A14" s="3430"/>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1"/>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28"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9"/>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43334</v>
      </c>
      <c r="H19" s="1474" t="s">
        <v>2941</v>
      </c>
      <c r="I19" s="2784" t="str">
        <f>IF(H19="季度增幅（自定义）",SUMIF(N21:N24,E2,O21:O24),"")</f>
        <v/>
      </c>
      <c r="J19" s="1470"/>
      <c r="K19" s="1480"/>
      <c r="L19" s="3040" t="s">
        <v>2843</v>
      </c>
      <c r="M19" s="3041">
        <f>ROUND(SUMIF(地价!B2:F2,E2,地价!B23:F23),0)</f>
        <v>0</v>
      </c>
      <c r="N19" s="2786" t="s">
        <v>1676</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1.2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4"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5"/>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5"/>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6"/>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2" t="s">
        <v>1633</v>
      </c>
      <c r="B90" s="3432"/>
      <c r="C90" s="3432"/>
      <c r="D90" s="3432"/>
      <c r="E90" s="3432"/>
      <c r="F90" s="3432"/>
      <c r="G90" s="3432"/>
      <c r="H90" s="3432"/>
      <c r="I90" s="3432"/>
      <c r="J90" s="3432"/>
      <c r="K90" s="2450"/>
      <c r="L90" s="2450"/>
      <c r="M90" s="2450"/>
      <c r="N90" s="2450"/>
    </row>
    <row r="91" spans="1:40">
      <c r="A91" s="3433" t="s">
        <v>1443</v>
      </c>
      <c r="B91" s="3433" t="s">
        <v>1634</v>
      </c>
      <c r="C91" s="1139" t="s">
        <v>1635</v>
      </c>
      <c r="D91" s="1140"/>
      <c r="E91" s="1140"/>
      <c r="F91" s="1140"/>
      <c r="G91" s="1140"/>
      <c r="H91" s="1140"/>
      <c r="I91" s="1140"/>
      <c r="J91" s="1141"/>
      <c r="K91" s="1133"/>
      <c r="L91" s="1133"/>
      <c r="M91" s="1133"/>
      <c r="N91" s="1133"/>
    </row>
    <row r="92" spans="1:40">
      <c r="A92" s="3433"/>
      <c r="B92" s="3433"/>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22"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3"/>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2" t="s">
        <v>1637</v>
      </c>
      <c r="B101" s="1146" t="s">
        <v>905</v>
      </c>
      <c r="C101" s="1147">
        <f>$G$3</f>
        <v>1.2</v>
      </c>
      <c r="D101" s="1147">
        <f t="shared" ref="D101:N101" si="31">$G$3</f>
        <v>1.2</v>
      </c>
      <c r="E101" s="1147">
        <f t="shared" si="31"/>
        <v>1.2</v>
      </c>
      <c r="F101" s="1147">
        <f t="shared" si="31"/>
        <v>1.2</v>
      </c>
      <c r="G101" s="1147">
        <f t="shared" si="31"/>
        <v>1.2</v>
      </c>
      <c r="H101" s="1147">
        <f t="shared" si="31"/>
        <v>1.2</v>
      </c>
      <c r="I101" s="1147">
        <f t="shared" si="31"/>
        <v>1.2</v>
      </c>
      <c r="J101" s="1147">
        <f t="shared" si="31"/>
        <v>1.2</v>
      </c>
      <c r="K101" s="1147">
        <f t="shared" si="31"/>
        <v>1.2</v>
      </c>
      <c r="L101" s="1147">
        <f t="shared" si="31"/>
        <v>1.2</v>
      </c>
      <c r="M101" s="1147">
        <f t="shared" si="31"/>
        <v>1.2</v>
      </c>
      <c r="N101" s="1147">
        <f t="shared" si="31"/>
        <v>1.2</v>
      </c>
    </row>
    <row r="102" spans="1:14">
      <c r="A102" s="3423"/>
      <c r="B102" s="1142">
        <v>1</v>
      </c>
      <c r="C102" s="1143">
        <f>1.9362/C101</f>
        <v>1.6134999999999999</v>
      </c>
      <c r="D102" s="1143">
        <f>1.9362/D101</f>
        <v>1.6134999999999999</v>
      </c>
      <c r="E102" s="1143">
        <f>1.8629/E101</f>
        <v>1.5524166666666668</v>
      </c>
      <c r="F102" s="1143">
        <f>1.8629/F101</f>
        <v>1.5524166666666668</v>
      </c>
      <c r="G102" s="1143">
        <f>1.8629/G101</f>
        <v>1.5524166666666668</v>
      </c>
      <c r="H102" s="1143">
        <f>1.8629/H101</f>
        <v>1.5524166666666668</v>
      </c>
      <c r="I102" s="1143">
        <f>1.8629/I101</f>
        <v>1.5524166666666668</v>
      </c>
      <c r="J102" s="1143">
        <f>1.942/J101</f>
        <v>1.6183333333333334</v>
      </c>
      <c r="K102" s="1143">
        <f>1.942/K101</f>
        <v>1.6183333333333334</v>
      </c>
      <c r="L102" s="1143">
        <f>1.942/L101</f>
        <v>1.6183333333333334</v>
      </c>
      <c r="M102" s="1143">
        <f>1.942/M101</f>
        <v>1.6183333333333334</v>
      </c>
      <c r="N102" s="1143">
        <f>1.942/N101</f>
        <v>1.6183333333333334</v>
      </c>
    </row>
    <row r="103" spans="1:14">
      <c r="A103" s="3423"/>
      <c r="B103" s="1142">
        <v>2</v>
      </c>
      <c r="C103" s="1143">
        <f>1.4198/C101</f>
        <v>1.1831666666666667</v>
      </c>
      <c r="D103" s="1143">
        <f>1.4198/D101</f>
        <v>1.1831666666666667</v>
      </c>
      <c r="E103" s="1143">
        <f>1.3372/E101</f>
        <v>1.1143333333333334</v>
      </c>
      <c r="F103" s="1143">
        <f>1.3372/F101</f>
        <v>1.1143333333333334</v>
      </c>
      <c r="G103" s="1143">
        <f>1.3372/G101</f>
        <v>1.1143333333333334</v>
      </c>
      <c r="H103" s="1143">
        <f>1.3372/H101</f>
        <v>1.1143333333333334</v>
      </c>
      <c r="I103" s="1143">
        <f>1.3372/I101</f>
        <v>1.1143333333333334</v>
      </c>
      <c r="J103" s="1143">
        <f>1.2799/J101</f>
        <v>1.0665833333333334</v>
      </c>
      <c r="K103" s="1143">
        <f>1.2799/K101</f>
        <v>1.0665833333333334</v>
      </c>
      <c r="L103" s="1143">
        <f>1.2799/L101</f>
        <v>1.0665833333333334</v>
      </c>
      <c r="M103" s="1143">
        <f>1.2799/M101</f>
        <v>1.0665833333333334</v>
      </c>
      <c r="N103" s="1143">
        <f>1.2799/N101</f>
        <v>1.0665833333333334</v>
      </c>
    </row>
    <row r="104" spans="1:14">
      <c r="A104" s="3423"/>
      <c r="B104" s="1142">
        <v>3</v>
      </c>
      <c r="C104" s="1143">
        <f>1.1594/C101</f>
        <v>0.96616666666666673</v>
      </c>
      <c r="D104" s="1143">
        <f>1.1594/D101</f>
        <v>0.96616666666666673</v>
      </c>
      <c r="E104" s="1143">
        <f>1.0788/E101</f>
        <v>0.89900000000000002</v>
      </c>
      <c r="F104" s="1143">
        <f>1.0788/F101</f>
        <v>0.89900000000000002</v>
      </c>
      <c r="G104" s="1143">
        <f>1.0788/G101</f>
        <v>0.89900000000000002</v>
      </c>
      <c r="H104" s="1143">
        <f>1.0788/H101</f>
        <v>0.89900000000000002</v>
      </c>
      <c r="I104" s="1143">
        <f>1.0788/I101</f>
        <v>0.89900000000000002</v>
      </c>
      <c r="J104" s="1143">
        <f>1.0072/J101</f>
        <v>0.83933333333333349</v>
      </c>
      <c r="K104" s="1143">
        <f>1.0072/K101</f>
        <v>0.83933333333333349</v>
      </c>
      <c r="L104" s="1143">
        <f>1.0072/L101</f>
        <v>0.83933333333333349</v>
      </c>
      <c r="M104" s="1143">
        <f>1.0072/M101</f>
        <v>0.83933333333333349</v>
      </c>
      <c r="N104" s="1143">
        <f>1.0072/N101</f>
        <v>0.83933333333333349</v>
      </c>
    </row>
    <row r="105" spans="1:14">
      <c r="A105" s="3423"/>
      <c r="B105" s="1142">
        <v>4</v>
      </c>
      <c r="C105" s="1143">
        <f>0.9622/C101</f>
        <v>0.8018333333333334</v>
      </c>
      <c r="D105" s="1143">
        <f>0.9622/D101</f>
        <v>0.8018333333333334</v>
      </c>
      <c r="E105" s="1143">
        <f>0.8656/E101</f>
        <v>0.72133333333333338</v>
      </c>
      <c r="F105" s="1143">
        <f>0.8656/F101</f>
        <v>0.72133333333333338</v>
      </c>
      <c r="G105" s="1143">
        <f>0.8656/G101</f>
        <v>0.72133333333333338</v>
      </c>
      <c r="H105" s="1143">
        <f>0.8656/H101</f>
        <v>0.72133333333333338</v>
      </c>
      <c r="I105" s="1143">
        <f>0.8656/I101</f>
        <v>0.72133333333333338</v>
      </c>
      <c r="J105" s="1143">
        <f>0.7525/J101</f>
        <v>0.62708333333333333</v>
      </c>
      <c r="K105" s="1143">
        <f>0.7525/K101</f>
        <v>0.62708333333333333</v>
      </c>
      <c r="L105" s="1143">
        <f>0.7525/L101</f>
        <v>0.62708333333333333</v>
      </c>
      <c r="M105" s="1143">
        <f>0.7525/M101</f>
        <v>0.62708333333333333</v>
      </c>
      <c r="N105" s="1143">
        <f>0.7525/N101</f>
        <v>0.62708333333333333</v>
      </c>
    </row>
    <row r="106" spans="1:14">
      <c r="A106" s="3423"/>
      <c r="B106" s="1142">
        <v>5</v>
      </c>
      <c r="C106" s="1143">
        <f>0.8417/C101</f>
        <v>0.70141666666666669</v>
      </c>
      <c r="D106" s="1143">
        <f>0.8417/D101</f>
        <v>0.70141666666666669</v>
      </c>
      <c r="E106" s="1143">
        <f>0.7371/E101</f>
        <v>0.61424999999999996</v>
      </c>
      <c r="F106" s="1143">
        <f>0.7371/F101</f>
        <v>0.61424999999999996</v>
      </c>
      <c r="G106" s="1143">
        <f>0.7371/G101</f>
        <v>0.61424999999999996</v>
      </c>
      <c r="H106" s="1143">
        <f>0.7371/H101</f>
        <v>0.61424999999999996</v>
      </c>
      <c r="I106" s="1143">
        <f>0.7371/I101</f>
        <v>0.61424999999999996</v>
      </c>
      <c r="J106" s="1143">
        <f>0.5659/J101</f>
        <v>0.4715833333333333</v>
      </c>
      <c r="K106" s="1143">
        <f>0.5659/K101</f>
        <v>0.4715833333333333</v>
      </c>
      <c r="L106" s="1143">
        <f>0.5659/L101</f>
        <v>0.4715833333333333</v>
      </c>
      <c r="M106" s="1143">
        <f>0.5659/M101</f>
        <v>0.4715833333333333</v>
      </c>
      <c r="N106" s="1143">
        <f>0.5659/N101</f>
        <v>0.4715833333333333</v>
      </c>
    </row>
    <row r="107" spans="1:14">
      <c r="A107" s="3423"/>
      <c r="B107" s="1142">
        <v>6</v>
      </c>
      <c r="C107" s="1143">
        <f>0.7608/C101</f>
        <v>0.63400000000000001</v>
      </c>
      <c r="D107" s="1143">
        <f>0.7608/D101</f>
        <v>0.63400000000000001</v>
      </c>
      <c r="E107" s="1143">
        <f>0.6482/E101</f>
        <v>0.54016666666666668</v>
      </c>
      <c r="F107" s="1143">
        <f>0.6482/F101</f>
        <v>0.54016666666666668</v>
      </c>
      <c r="G107" s="1143">
        <f>0.6482/G101</f>
        <v>0.54016666666666668</v>
      </c>
      <c r="H107" s="1143">
        <f>0.6482/H101</f>
        <v>0.54016666666666668</v>
      </c>
      <c r="I107" s="1143">
        <f>0.6482/I101</f>
        <v>0.54016666666666668</v>
      </c>
      <c r="J107" s="1143">
        <f>0.4525/J101</f>
        <v>0.37708333333333338</v>
      </c>
      <c r="K107" s="1143">
        <f>0.4525/K101</f>
        <v>0.37708333333333338</v>
      </c>
      <c r="L107" s="1143">
        <f>0.4525/L101</f>
        <v>0.37708333333333338</v>
      </c>
      <c r="M107" s="1143">
        <f>0.4525/M101</f>
        <v>0.37708333333333338</v>
      </c>
      <c r="N107" s="1143">
        <f>0.4525/N101</f>
        <v>0.37708333333333338</v>
      </c>
    </row>
    <row r="108" spans="1:14">
      <c r="A108" s="3423"/>
      <c r="B108" s="3425"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4"/>
      <c r="B109" s="3426"/>
      <c r="C109" s="1145">
        <f>(-0.163*(C108^2)-0.59*C108+7617)*(10^(-4))/C101</f>
        <v>0.6334873333333334</v>
      </c>
      <c r="D109" s="1145">
        <f>(-0.163*(D108^2)-0.59*D108+7617)*(10^(-4))/D101</f>
        <v>0.6334873333333334</v>
      </c>
      <c r="E109" s="1145">
        <f>(-0.161*(E108^2)-7.509*E108+6533)*(10^(-4))/E101</f>
        <v>0.53855200000000003</v>
      </c>
      <c r="F109" s="1145">
        <f>(-0.161*(F108^2)-7.509*F108+6533)*(10^(-4))/F101</f>
        <v>0.53855200000000003</v>
      </c>
      <c r="G109" s="1145">
        <f>(-0.161*(G108^2)-7.509*G108+6533)*(10^(-4))/G101</f>
        <v>0.53855200000000003</v>
      </c>
      <c r="H109" s="1145">
        <f>(-0.161*(H108^2)-7.509*H108+6533)*(10^(-4))/H101</f>
        <v>0.53855200000000003</v>
      </c>
      <c r="I109" s="1145">
        <f>(-0.161*(I108^2)-7.509*I108+6533)*(10^(-4))/I101</f>
        <v>0.53855200000000003</v>
      </c>
      <c r="J109" s="1145">
        <f>(-0.214*(J108^2)-21.991*J108+4665)*(10^(-4))/J101</f>
        <v>0.37294800000000006</v>
      </c>
      <c r="K109" s="1145">
        <f>(-0.214*(K108^2)-21.991*K108+4665)*(10^(-4))/K101</f>
        <v>0.37294800000000006</v>
      </c>
      <c r="L109" s="1145">
        <f>(-0.214*(L108^2)-21.991*L108+4665)*(10^(-4))/L101</f>
        <v>0.37294800000000006</v>
      </c>
      <c r="M109" s="1145">
        <f>(-0.214*(M108^2)-21.991*M108+4665)*(10^(-4))/M101</f>
        <v>0.37294800000000006</v>
      </c>
      <c r="N109" s="1145">
        <f>(-0.214*(N108^2)-21.991*N108+4665)*(10^(-4))/N101</f>
        <v>0.37294800000000006</v>
      </c>
    </row>
    <row r="110" spans="1:14">
      <c r="A110" s="3427" t="s">
        <v>1639</v>
      </c>
      <c r="B110" s="3427"/>
      <c r="C110" s="3427"/>
      <c r="D110" s="3427"/>
      <c r="E110" s="3427"/>
      <c r="F110" s="3427"/>
      <c r="G110" s="3427"/>
      <c r="H110" s="3427"/>
      <c r="I110" s="3427"/>
      <c r="J110" s="3427"/>
      <c r="K110" s="2448"/>
      <c r="L110" s="2448"/>
      <c r="M110" s="2448"/>
      <c r="N110" s="2448"/>
    </row>
    <row r="112" spans="1:14" ht="12.75" thickBot="1"/>
    <row r="113" spans="1:13" ht="25.5" thickBot="1">
      <c r="A113" s="1015" t="s">
        <v>895</v>
      </c>
      <c r="B113" s="2451">
        <f>G3</f>
        <v>1.2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0.92220000000000002</v>
      </c>
      <c r="C115" s="1029">
        <f>B115</f>
        <v>0.92220000000000002</v>
      </c>
      <c r="D115" s="1029">
        <f>ROUND(0.8331-0.0109*B113,4)</f>
        <v>0.82</v>
      </c>
      <c r="E115" s="1029">
        <f>D115</f>
        <v>0.82</v>
      </c>
      <c r="F115" s="1029">
        <f>E115</f>
        <v>0.82</v>
      </c>
      <c r="G115" s="1029">
        <f>F115</f>
        <v>0.82</v>
      </c>
      <c r="H115" s="1029">
        <f>G115</f>
        <v>0.82</v>
      </c>
      <c r="I115" s="1029">
        <f>ROUND(0.689-0.0155*B113,4)</f>
        <v>0.6704</v>
      </c>
      <c r="J115" s="1029">
        <f t="shared" ref="J115:M118" si="33">I115</f>
        <v>0.6704</v>
      </c>
      <c r="K115" s="1029">
        <f t="shared" si="33"/>
        <v>0.6704</v>
      </c>
      <c r="L115" s="1029">
        <f t="shared" si="33"/>
        <v>0.6704</v>
      </c>
      <c r="M115" s="1030">
        <f t="shared" si="33"/>
        <v>0.6704</v>
      </c>
    </row>
    <row r="116" spans="1:13" ht="12.75">
      <c r="A116" s="1028" t="s">
        <v>900</v>
      </c>
      <c r="B116" s="1029">
        <f>ROUND(0.949-0.012*B113,4)</f>
        <v>0.93459999999999999</v>
      </c>
      <c r="C116" s="1029">
        <f>B116</f>
        <v>0.93459999999999999</v>
      </c>
      <c r="D116" s="1029">
        <f>ROUND(0.8567-0.013*B113,4)</f>
        <v>0.84109999999999996</v>
      </c>
      <c r="E116" s="1029">
        <f t="shared" ref="E116:H117" si="34">D116</f>
        <v>0.84109999999999996</v>
      </c>
      <c r="F116" s="1029">
        <f t="shared" si="34"/>
        <v>0.84109999999999996</v>
      </c>
      <c r="G116" s="1029">
        <f t="shared" si="34"/>
        <v>0.84109999999999996</v>
      </c>
      <c r="H116" s="1029">
        <f t="shared" si="34"/>
        <v>0.84109999999999996</v>
      </c>
      <c r="I116" s="1029">
        <f>ROUND(0.7694-0.014*B113,4)</f>
        <v>0.75260000000000005</v>
      </c>
      <c r="J116" s="1029">
        <f t="shared" si="33"/>
        <v>0.75260000000000005</v>
      </c>
      <c r="K116" s="1029">
        <f t="shared" si="33"/>
        <v>0.75260000000000005</v>
      </c>
      <c r="L116" s="1029">
        <f t="shared" si="33"/>
        <v>0.75260000000000005</v>
      </c>
      <c r="M116" s="1030">
        <f t="shared" si="33"/>
        <v>0.75260000000000005</v>
      </c>
    </row>
    <row r="117" spans="1:13" ht="12.75">
      <c r="A117" s="1031" t="s">
        <v>901</v>
      </c>
      <c r="B117" s="1029">
        <f>ROUND(0.8808-0.006*B113,4)</f>
        <v>0.87360000000000004</v>
      </c>
      <c r="C117" s="1029">
        <f>B117</f>
        <v>0.87360000000000004</v>
      </c>
      <c r="D117" s="1029">
        <f>ROUND(0.8748-0.008*B113,4)</f>
        <v>0.86519999999999997</v>
      </c>
      <c r="E117" s="1029">
        <f t="shared" si="34"/>
        <v>0.86519999999999997</v>
      </c>
      <c r="F117" s="1029">
        <f t="shared" si="34"/>
        <v>0.86519999999999997</v>
      </c>
      <c r="G117" s="1029">
        <f t="shared" si="34"/>
        <v>0.86519999999999997</v>
      </c>
      <c r="H117" s="1029">
        <f t="shared" si="34"/>
        <v>0.86519999999999997</v>
      </c>
      <c r="I117" s="1029">
        <f>ROUND(0.7412-0.0095*B113,4)</f>
        <v>0.7298</v>
      </c>
      <c r="J117" s="1029">
        <f t="shared" si="33"/>
        <v>0.7298</v>
      </c>
      <c r="K117" s="1029">
        <f t="shared" si="33"/>
        <v>0.7298</v>
      </c>
      <c r="L117" s="1029">
        <f t="shared" si="33"/>
        <v>0.7298</v>
      </c>
      <c r="M117" s="1030">
        <f t="shared" si="33"/>
        <v>0.7298</v>
      </c>
    </row>
    <row r="118" spans="1:13" ht="13.5" thickBot="1">
      <c r="A118" s="1032" t="s">
        <v>902</v>
      </c>
      <c r="B118" s="1033">
        <f>ROUND(0.7275-0.01*B113,4)</f>
        <v>0.71550000000000002</v>
      </c>
      <c r="C118" s="1033">
        <f>B118</f>
        <v>0.71550000000000002</v>
      </c>
      <c r="D118" s="1033">
        <f>ROUND(0.7043-0.012*B113,4)</f>
        <v>0.68989999999999996</v>
      </c>
      <c r="E118" s="1033">
        <f>D118</f>
        <v>0.68989999999999996</v>
      </c>
      <c r="F118" s="1033">
        <f>E118</f>
        <v>0.68989999999999996</v>
      </c>
      <c r="G118" s="1033">
        <f>ROUND(0.6299-0.0122*B113,4)</f>
        <v>0.61529999999999996</v>
      </c>
      <c r="H118" s="1033">
        <f>G118</f>
        <v>0.61529999999999996</v>
      </c>
      <c r="I118" s="1033">
        <f>ROUND(0.5667-0.0136*B113,4)</f>
        <v>0.5504</v>
      </c>
      <c r="J118" s="1033">
        <f t="shared" si="33"/>
        <v>0.5504</v>
      </c>
      <c r="K118" s="1033">
        <f t="shared" si="33"/>
        <v>0.5504</v>
      </c>
      <c r="L118" s="1033">
        <f t="shared" si="33"/>
        <v>0.5504</v>
      </c>
      <c r="M118" s="1034">
        <f t="shared" si="33"/>
        <v>0.5504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3" t="s">
        <v>1007</v>
      </c>
      <c r="B18" s="1153" t="s">
        <v>1446</v>
      </c>
      <c r="C18" s="1130" t="s">
        <v>1447</v>
      </c>
      <c r="D18" s="1131"/>
      <c r="E18" s="1153">
        <v>1</v>
      </c>
      <c r="F18" s="1132" t="s">
        <v>1448</v>
      </c>
      <c r="G18" s="1133"/>
      <c r="H18" s="1104"/>
      <c r="I18" s="1104"/>
    </row>
    <row r="19" spans="1:9" s="1598" customFormat="1" ht="19.5" customHeight="1">
      <c r="A19" s="3433"/>
      <c r="B19" s="3433" t="s">
        <v>1449</v>
      </c>
      <c r="C19" s="1130" t="s">
        <v>1450</v>
      </c>
      <c r="D19" s="1131"/>
      <c r="E19" s="1153">
        <v>0.9</v>
      </c>
      <c r="F19" s="1132" t="s">
        <v>1451</v>
      </c>
      <c r="G19" s="1133"/>
      <c r="H19" s="1104"/>
      <c r="I19" s="1104"/>
    </row>
    <row r="20" spans="1:9" s="1598" customFormat="1" ht="19.5" customHeight="1">
      <c r="A20" s="3433"/>
      <c r="B20" s="3433"/>
      <c r="C20" s="1130" t="s">
        <v>1452</v>
      </c>
      <c r="D20" s="1131"/>
      <c r="E20" s="1153">
        <v>1.1000000000000001</v>
      </c>
      <c r="F20" s="1132" t="s">
        <v>1453</v>
      </c>
      <c r="G20" s="1133"/>
      <c r="H20" s="1104"/>
      <c r="I20" s="1104"/>
    </row>
    <row r="21" spans="1:9" s="1598" customFormat="1" ht="19.5" customHeight="1">
      <c r="A21" s="3433"/>
      <c r="B21" s="3433"/>
      <c r="C21" s="1130" t="s">
        <v>1454</v>
      </c>
      <c r="D21" s="1131"/>
      <c r="E21" s="1153">
        <v>0.8</v>
      </c>
      <c r="F21" s="1132" t="s">
        <v>1455</v>
      </c>
      <c r="G21" s="1133"/>
      <c r="H21" s="1104"/>
      <c r="I21" s="1104"/>
    </row>
    <row r="22" spans="1:9" s="1598" customFormat="1" ht="19.5" customHeight="1">
      <c r="A22" s="3433"/>
      <c r="B22" s="3433"/>
      <c r="C22" s="1130" t="s">
        <v>1456</v>
      </c>
      <c r="D22" s="1131"/>
      <c r="E22" s="1153">
        <v>0.5</v>
      </c>
      <c r="F22" s="1132"/>
      <c r="G22" s="1133"/>
      <c r="H22" s="1104"/>
      <c r="I22" s="1104"/>
    </row>
    <row r="23" spans="1:9" s="1598" customFormat="1" ht="19.5" customHeight="1">
      <c r="A23" s="3433" t="s">
        <v>1029</v>
      </c>
      <c r="B23" s="1153" t="s">
        <v>1446</v>
      </c>
      <c r="C23" s="1130" t="s">
        <v>1457</v>
      </c>
      <c r="D23" s="1131"/>
      <c r="E23" s="1153">
        <v>1</v>
      </c>
      <c r="F23" s="1132" t="s">
        <v>1458</v>
      </c>
      <c r="G23" s="1133"/>
      <c r="H23" s="1104"/>
      <c r="I23" s="1104"/>
    </row>
    <row r="24" spans="1:9" s="1598" customFormat="1" ht="19.5" customHeight="1">
      <c r="A24" s="3433"/>
      <c r="B24" s="3433" t="s">
        <v>1449</v>
      </c>
      <c r="C24" s="1130" t="s">
        <v>1459</v>
      </c>
      <c r="D24" s="1131"/>
      <c r="E24" s="1153">
        <v>0.5</v>
      </c>
      <c r="F24" s="1132"/>
      <c r="G24" s="1133"/>
      <c r="H24" s="1104"/>
      <c r="I24" s="1104"/>
    </row>
    <row r="25" spans="1:9" s="1598" customFormat="1" ht="19.5" customHeight="1">
      <c r="A25" s="3433"/>
      <c r="B25" s="3433"/>
      <c r="C25" s="1130" t="s">
        <v>1460</v>
      </c>
      <c r="D25" s="1131"/>
      <c r="E25" s="1153">
        <v>1.1000000000000001</v>
      </c>
      <c r="F25" s="1132"/>
      <c r="G25" s="1133"/>
      <c r="H25" s="1104"/>
      <c r="I25" s="1104"/>
    </row>
    <row r="26" spans="1:9" s="1598" customFormat="1" ht="19.5" customHeight="1">
      <c r="A26" s="3433"/>
      <c r="B26" s="3433"/>
      <c r="C26" s="1130" t="s">
        <v>1461</v>
      </c>
      <c r="D26" s="1131"/>
      <c r="E26" s="1153">
        <v>1.1000000000000001</v>
      </c>
      <c r="F26" s="1132"/>
      <c r="G26" s="1133"/>
      <c r="H26" s="1104"/>
      <c r="I26" s="1104"/>
    </row>
    <row r="27" spans="1:9" s="1598" customFormat="1" ht="19.5" customHeight="1">
      <c r="A27" s="3433"/>
      <c r="B27" s="3433"/>
      <c r="C27" s="1130" t="s">
        <v>1462</v>
      </c>
      <c r="D27" s="1131"/>
      <c r="E27" s="1153">
        <v>0.9</v>
      </c>
      <c r="F27" s="1132" t="s">
        <v>1463</v>
      </c>
      <c r="G27" s="1133"/>
      <c r="H27" s="1104"/>
      <c r="I27" s="1104"/>
    </row>
    <row r="28" spans="1:9" s="1598" customFormat="1" ht="19.5" customHeight="1">
      <c r="A28" s="3433"/>
      <c r="B28" s="3433"/>
      <c r="C28" s="1130" t="s">
        <v>1464</v>
      </c>
      <c r="D28" s="1131"/>
      <c r="E28" s="1153">
        <v>0.9</v>
      </c>
      <c r="F28" s="1132" t="s">
        <v>1465</v>
      </c>
      <c r="G28" s="1133"/>
      <c r="H28" s="1104"/>
      <c r="I28" s="1104"/>
    </row>
    <row r="29" spans="1:9" s="1598" customFormat="1" ht="19.5" customHeight="1">
      <c r="A29" s="3433"/>
      <c r="B29" s="3433"/>
      <c r="C29" s="1130" t="s">
        <v>1466</v>
      </c>
      <c r="D29" s="1131"/>
      <c r="E29" s="1153">
        <v>0.9</v>
      </c>
      <c r="F29" s="1132" t="s">
        <v>1467</v>
      </c>
      <c r="G29" s="1133"/>
      <c r="H29" s="1104"/>
      <c r="I29" s="1104"/>
    </row>
    <row r="30" spans="1:9" s="1598" customFormat="1" ht="19.5" customHeight="1">
      <c r="A30" s="3433"/>
      <c r="B30" s="3433"/>
      <c r="C30" s="1130" t="s">
        <v>1468</v>
      </c>
      <c r="D30" s="1131"/>
      <c r="E30" s="1153">
        <v>0.9</v>
      </c>
      <c r="F30" s="1132" t="s">
        <v>1469</v>
      </c>
      <c r="G30" s="1133"/>
      <c r="H30" s="1104"/>
      <c r="I30" s="1104"/>
    </row>
    <row r="31" spans="1:9" s="1598" customFormat="1" ht="19.5" customHeight="1">
      <c r="A31" s="3433"/>
      <c r="B31" s="3433"/>
      <c r="C31" s="1130" t="s">
        <v>1470</v>
      </c>
      <c r="D31" s="1131"/>
      <c r="E31" s="1153">
        <v>0.8</v>
      </c>
      <c r="F31" s="1132" t="s">
        <v>1471</v>
      </c>
      <c r="G31" s="1133"/>
      <c r="H31" s="1104"/>
      <c r="I31" s="1104"/>
    </row>
    <row r="32" spans="1:9" s="1598" customFormat="1" ht="19.5" customHeight="1">
      <c r="A32" s="3433"/>
      <c r="B32" s="3433"/>
      <c r="C32" s="1130" t="s">
        <v>1472</v>
      </c>
      <c r="D32" s="1131"/>
      <c r="E32" s="1153">
        <v>0.8</v>
      </c>
      <c r="F32" s="1132" t="s">
        <v>1473</v>
      </c>
      <c r="G32" s="1133"/>
      <c r="H32" s="1104"/>
      <c r="I32" s="1104"/>
    </row>
    <row r="33" spans="1:9" s="1598" customFormat="1" ht="19.5" customHeight="1">
      <c r="A33" s="3433" t="s">
        <v>1474</v>
      </c>
      <c r="B33" s="1153" t="s">
        <v>1446</v>
      </c>
      <c r="C33" s="1130" t="s">
        <v>1475</v>
      </c>
      <c r="D33" s="1131"/>
      <c r="E33" s="1153">
        <v>1</v>
      </c>
      <c r="F33" s="1132" t="s">
        <v>1476</v>
      </c>
      <c r="G33" s="1133"/>
      <c r="H33" s="1104"/>
      <c r="I33" s="1104"/>
    </row>
    <row r="34" spans="1:9" s="1598" customFormat="1" ht="19.5" customHeight="1">
      <c r="A34" s="3433"/>
      <c r="B34" s="1153" t="s">
        <v>1449</v>
      </c>
      <c r="C34" s="1130" t="s">
        <v>1477</v>
      </c>
      <c r="D34" s="1131"/>
      <c r="E34" s="1153">
        <v>1.5</v>
      </c>
      <c r="F34" s="1132" t="s">
        <v>1478</v>
      </c>
      <c r="G34" s="1133"/>
      <c r="H34" s="1104"/>
      <c r="I34" s="1104"/>
    </row>
    <row r="35" spans="1:9" s="1598" customFormat="1" ht="19.5" customHeight="1">
      <c r="A35" s="3433" t="s">
        <v>1432</v>
      </c>
      <c r="B35" s="1153" t="s">
        <v>1446</v>
      </c>
      <c r="C35" s="1130" t="s">
        <v>1479</v>
      </c>
      <c r="D35" s="1131"/>
      <c r="E35" s="1153">
        <v>1</v>
      </c>
      <c r="F35" s="1132" t="s">
        <v>1480</v>
      </c>
      <c r="G35" s="1133"/>
      <c r="H35" s="1104"/>
      <c r="I35" s="1104"/>
    </row>
    <row r="36" spans="1:9" s="1598" customFormat="1" ht="19.5" customHeight="1">
      <c r="A36" s="3433"/>
      <c r="B36" s="3433" t="s">
        <v>1449</v>
      </c>
      <c r="C36" s="1130" t="s">
        <v>1481</v>
      </c>
      <c r="D36" s="1131"/>
      <c r="E36" s="1153">
        <v>1</v>
      </c>
      <c r="F36" s="1132" t="s">
        <v>1482</v>
      </c>
      <c r="G36" s="1133"/>
      <c r="H36" s="1104"/>
      <c r="I36" s="1104"/>
    </row>
    <row r="37" spans="1:9" s="1598" customFormat="1" ht="19.5" customHeight="1">
      <c r="A37" s="3433"/>
      <c r="B37" s="3433"/>
      <c r="C37" s="1130" t="s">
        <v>1483</v>
      </c>
      <c r="D37" s="1131"/>
      <c r="E37" s="1153">
        <v>1.5</v>
      </c>
      <c r="F37" s="1132" t="s">
        <v>1484</v>
      </c>
      <c r="G37" s="1133"/>
      <c r="H37" s="1104"/>
      <c r="I37" s="1104"/>
    </row>
    <row r="38" spans="1:9" s="1598" customFormat="1" ht="19.5" customHeight="1">
      <c r="A38" s="3433"/>
      <c r="B38" s="3433"/>
      <c r="C38" s="1130" t="s">
        <v>1485</v>
      </c>
      <c r="D38" s="1131"/>
      <c r="E38" s="1153">
        <v>1</v>
      </c>
      <c r="F38" s="1132" t="s">
        <v>1486</v>
      </c>
      <c r="G38" s="1133"/>
      <c r="H38" s="1104"/>
      <c r="I38" s="1104"/>
    </row>
    <row r="39" spans="1:9" s="1598" customFormat="1" ht="19.5" customHeight="1">
      <c r="A39" s="3433"/>
      <c r="B39" s="3433"/>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3" t="s">
        <v>1501</v>
      </c>
      <c r="C61" s="1067" t="s">
        <v>1502</v>
      </c>
      <c r="D61" s="1067" t="s">
        <v>1503</v>
      </c>
      <c r="E61" s="1138">
        <v>0.5</v>
      </c>
      <c r="F61" s="1153">
        <v>80</v>
      </c>
      <c r="H61" s="1104">
        <f>SUMIF(C59:C119,基准地价!C8,E59:E119)</f>
        <v>0</v>
      </c>
    </row>
    <row r="62" spans="1:8" s="1104" customFormat="1" ht="24">
      <c r="A62" s="1153">
        <v>2</v>
      </c>
      <c r="B62" s="3433"/>
      <c r="C62" s="1067" t="s">
        <v>1504</v>
      </c>
      <c r="D62" s="1067" t="s">
        <v>1505</v>
      </c>
      <c r="E62" s="1138">
        <v>0.5</v>
      </c>
      <c r="F62" s="1153">
        <v>80</v>
      </c>
    </row>
    <row r="63" spans="1:8" s="1104" customFormat="1" ht="36">
      <c r="A63" s="1153">
        <v>3</v>
      </c>
      <c r="B63" s="3433"/>
      <c r="C63" s="1067" t="s">
        <v>1506</v>
      </c>
      <c r="D63" s="1067" t="s">
        <v>1507</v>
      </c>
      <c r="E63" s="1138">
        <v>0.5</v>
      </c>
      <c r="F63" s="1153">
        <v>80</v>
      </c>
    </row>
    <row r="64" spans="1:8" s="1104" customFormat="1" ht="36">
      <c r="A64" s="1153">
        <v>4</v>
      </c>
      <c r="B64" s="3433"/>
      <c r="C64" s="1067" t="s">
        <v>1508</v>
      </c>
      <c r="D64" s="1067" t="s">
        <v>1509</v>
      </c>
      <c r="E64" s="1138">
        <v>0.4</v>
      </c>
      <c r="F64" s="1153">
        <v>60</v>
      </c>
    </row>
    <row r="65" spans="1:6" s="1104" customFormat="1" ht="36">
      <c r="A65" s="1153">
        <v>5</v>
      </c>
      <c r="B65" s="3433"/>
      <c r="C65" s="1067" t="s">
        <v>1510</v>
      </c>
      <c r="D65" s="1067" t="s">
        <v>1511</v>
      </c>
      <c r="E65" s="1138">
        <v>0.2</v>
      </c>
      <c r="F65" s="1153">
        <v>30</v>
      </c>
    </row>
    <row r="66" spans="1:6" s="1104" customFormat="1" ht="36">
      <c r="A66" s="1153">
        <v>6</v>
      </c>
      <c r="B66" s="3433"/>
      <c r="C66" s="1067" t="s">
        <v>1512</v>
      </c>
      <c r="D66" s="1067" t="s">
        <v>1513</v>
      </c>
      <c r="E66" s="1138">
        <v>0.3</v>
      </c>
      <c r="F66" s="1153">
        <v>50</v>
      </c>
    </row>
    <row r="67" spans="1:6" s="1104" customFormat="1" ht="36">
      <c r="A67" s="1153">
        <v>7</v>
      </c>
      <c r="B67" s="3433"/>
      <c r="C67" s="1067" t="s">
        <v>1514</v>
      </c>
      <c r="D67" s="1067" t="s">
        <v>1515</v>
      </c>
      <c r="E67" s="1138">
        <v>0.2</v>
      </c>
      <c r="F67" s="1153">
        <v>30</v>
      </c>
    </row>
    <row r="68" spans="1:6" s="1104" customFormat="1" ht="36">
      <c r="A68" s="1153">
        <v>8</v>
      </c>
      <c r="B68" s="3433"/>
      <c r="C68" s="1067" t="s">
        <v>1516</v>
      </c>
      <c r="D68" s="1067" t="s">
        <v>1517</v>
      </c>
      <c r="E68" s="1138">
        <v>0.2</v>
      </c>
      <c r="F68" s="1153">
        <v>30</v>
      </c>
    </row>
    <row r="69" spans="1:6" s="1104" customFormat="1" ht="36">
      <c r="A69" s="1153">
        <v>9</v>
      </c>
      <c r="B69" s="3433"/>
      <c r="C69" s="1067" t="s">
        <v>1518</v>
      </c>
      <c r="D69" s="1067" t="s">
        <v>1519</v>
      </c>
      <c r="E69" s="1138">
        <v>0.2</v>
      </c>
      <c r="F69" s="1153">
        <v>30</v>
      </c>
    </row>
    <row r="70" spans="1:6" s="1104" customFormat="1" ht="48">
      <c r="A70" s="1153">
        <v>10</v>
      </c>
      <c r="B70" s="3433"/>
      <c r="C70" s="1067" t="s">
        <v>1520</v>
      </c>
      <c r="D70" s="1067" t="s">
        <v>1521</v>
      </c>
      <c r="E70" s="1138">
        <v>0.2</v>
      </c>
      <c r="F70" s="1153">
        <v>30</v>
      </c>
    </row>
    <row r="71" spans="1:6" s="1104" customFormat="1" ht="48">
      <c r="A71" s="1153">
        <v>11</v>
      </c>
      <c r="B71" s="3433"/>
      <c r="C71" s="1067" t="s">
        <v>1522</v>
      </c>
      <c r="D71" s="1067" t="s">
        <v>1523</v>
      </c>
      <c r="E71" s="1138">
        <v>0.2</v>
      </c>
      <c r="F71" s="1153">
        <v>30</v>
      </c>
    </row>
    <row r="72" spans="1:6" s="1104" customFormat="1" ht="36">
      <c r="A72" s="1153">
        <v>12</v>
      </c>
      <c r="B72" s="3433"/>
      <c r="C72" s="1067" t="s">
        <v>1524</v>
      </c>
      <c r="D72" s="1067" t="s">
        <v>1525</v>
      </c>
      <c r="E72" s="1138">
        <v>0.5</v>
      </c>
      <c r="F72" s="1153">
        <v>80</v>
      </c>
    </row>
    <row r="73" spans="1:6" s="1104" customFormat="1" ht="24">
      <c r="A73" s="1153">
        <v>13</v>
      </c>
      <c r="B73" s="3433"/>
      <c r="C73" s="1067" t="s">
        <v>1526</v>
      </c>
      <c r="D73" s="1067" t="s">
        <v>1527</v>
      </c>
      <c r="E73" s="1138">
        <v>0.4</v>
      </c>
      <c r="F73" s="1153">
        <v>60</v>
      </c>
    </row>
    <row r="74" spans="1:6" s="1104" customFormat="1" ht="24">
      <c r="A74" s="1153">
        <v>14</v>
      </c>
      <c r="B74" s="3433"/>
      <c r="C74" s="1067" t="s">
        <v>1528</v>
      </c>
      <c r="D74" s="1067" t="s">
        <v>1529</v>
      </c>
      <c r="E74" s="1138">
        <v>0.2</v>
      </c>
      <c r="F74" s="1153">
        <v>30</v>
      </c>
    </row>
    <row r="75" spans="1:6" s="1104" customFormat="1" ht="24">
      <c r="A75" s="1153">
        <v>15</v>
      </c>
      <c r="B75" s="3433"/>
      <c r="C75" s="1067" t="s">
        <v>1530</v>
      </c>
      <c r="D75" s="1067" t="s">
        <v>1531</v>
      </c>
      <c r="E75" s="1138">
        <v>0.2</v>
      </c>
      <c r="F75" s="1153">
        <v>30</v>
      </c>
    </row>
    <row r="76" spans="1:6" s="1104" customFormat="1" ht="24">
      <c r="A76" s="1153">
        <v>16</v>
      </c>
      <c r="B76" s="3433" t="s">
        <v>1532</v>
      </c>
      <c r="C76" s="1067" t="s">
        <v>1533</v>
      </c>
      <c r="D76" s="1067" t="s">
        <v>1534</v>
      </c>
      <c r="E76" s="1138">
        <v>0.5</v>
      </c>
      <c r="F76" s="1153">
        <v>80</v>
      </c>
    </row>
    <row r="77" spans="1:6" s="1104" customFormat="1" ht="24">
      <c r="A77" s="1153">
        <v>17</v>
      </c>
      <c r="B77" s="3433"/>
      <c r="C77" s="1067" t="s">
        <v>1535</v>
      </c>
      <c r="D77" s="1067" t="s">
        <v>1536</v>
      </c>
      <c r="E77" s="1138">
        <v>0.5</v>
      </c>
      <c r="F77" s="1153">
        <v>80</v>
      </c>
    </row>
    <row r="78" spans="1:6" s="1104" customFormat="1" ht="24">
      <c r="A78" s="1153">
        <v>18</v>
      </c>
      <c r="B78" s="3433"/>
      <c r="C78" s="1067" t="s">
        <v>1537</v>
      </c>
      <c r="D78" s="1067" t="s">
        <v>1538</v>
      </c>
      <c r="E78" s="1138">
        <v>0.2</v>
      </c>
      <c r="F78" s="1153">
        <v>30</v>
      </c>
    </row>
    <row r="79" spans="1:6" s="1104" customFormat="1" ht="24">
      <c r="A79" s="1153">
        <v>19</v>
      </c>
      <c r="B79" s="3433"/>
      <c r="C79" s="1067" t="s">
        <v>1539</v>
      </c>
      <c r="D79" s="1067" t="s">
        <v>1540</v>
      </c>
      <c r="E79" s="1138">
        <v>0.5</v>
      </c>
      <c r="F79" s="1153">
        <v>80</v>
      </c>
    </row>
    <row r="80" spans="1:6" s="1104" customFormat="1" ht="36">
      <c r="A80" s="1153">
        <v>20</v>
      </c>
      <c r="B80" s="3433"/>
      <c r="C80" s="1067" t="s">
        <v>1541</v>
      </c>
      <c r="D80" s="1067" t="s">
        <v>1542</v>
      </c>
      <c r="E80" s="1138">
        <v>0.2</v>
      </c>
      <c r="F80" s="1153">
        <v>30</v>
      </c>
    </row>
    <row r="81" spans="1:6" s="1104" customFormat="1" ht="36">
      <c r="A81" s="1153">
        <v>21</v>
      </c>
      <c r="B81" s="3433"/>
      <c r="C81" s="1067" t="s">
        <v>1543</v>
      </c>
      <c r="D81" s="1067" t="s">
        <v>1544</v>
      </c>
      <c r="E81" s="1138">
        <v>0.2</v>
      </c>
      <c r="F81" s="1153">
        <v>30</v>
      </c>
    </row>
    <row r="82" spans="1:6" s="1104" customFormat="1" ht="48">
      <c r="A82" s="1153">
        <v>22</v>
      </c>
      <c r="B82" s="3433"/>
      <c r="C82" s="1067" t="s">
        <v>1545</v>
      </c>
      <c r="D82" s="1067" t="s">
        <v>1546</v>
      </c>
      <c r="E82" s="1138">
        <v>0.2</v>
      </c>
      <c r="F82" s="1153">
        <v>30</v>
      </c>
    </row>
    <row r="83" spans="1:6" s="1104" customFormat="1" ht="48">
      <c r="A83" s="1153">
        <v>23</v>
      </c>
      <c r="B83" s="3433"/>
      <c r="C83" s="1067" t="s">
        <v>1547</v>
      </c>
      <c r="D83" s="1067" t="s">
        <v>1548</v>
      </c>
      <c r="E83" s="1138">
        <v>0.2</v>
      </c>
      <c r="F83" s="1153">
        <v>30</v>
      </c>
    </row>
    <row r="84" spans="1:6" s="1104" customFormat="1" ht="36">
      <c r="A84" s="1153">
        <v>24</v>
      </c>
      <c r="B84" s="3433"/>
      <c r="C84" s="1067" t="s">
        <v>1549</v>
      </c>
      <c r="D84" s="1067" t="s">
        <v>1550</v>
      </c>
      <c r="E84" s="1138">
        <v>0.2</v>
      </c>
      <c r="F84" s="1153">
        <v>30</v>
      </c>
    </row>
    <row r="85" spans="1:6" s="1104" customFormat="1" ht="36">
      <c r="A85" s="1153">
        <v>25</v>
      </c>
      <c r="B85" s="3433"/>
      <c r="C85" s="1067" t="s">
        <v>1551</v>
      </c>
      <c r="D85" s="1067" t="s">
        <v>1552</v>
      </c>
      <c r="E85" s="1138">
        <v>0.5</v>
      </c>
      <c r="F85" s="1153">
        <v>80</v>
      </c>
    </row>
    <row r="86" spans="1:6" s="1104" customFormat="1" ht="36">
      <c r="A86" s="1153">
        <v>26</v>
      </c>
      <c r="B86" s="3433"/>
      <c r="C86" s="1067" t="s">
        <v>1553</v>
      </c>
      <c r="D86" s="1067" t="s">
        <v>1554</v>
      </c>
      <c r="E86" s="1138">
        <v>0.2</v>
      </c>
      <c r="F86" s="1153">
        <v>30</v>
      </c>
    </row>
    <row r="87" spans="1:6" s="1104" customFormat="1" ht="36">
      <c r="A87" s="1153">
        <v>27</v>
      </c>
      <c r="B87" s="3433"/>
      <c r="C87" s="1067" t="s">
        <v>1555</v>
      </c>
      <c r="D87" s="1067" t="s">
        <v>1556</v>
      </c>
      <c r="E87" s="1138">
        <v>0.2</v>
      </c>
      <c r="F87" s="1153">
        <v>30</v>
      </c>
    </row>
    <row r="88" spans="1:6" s="1104" customFormat="1" ht="36">
      <c r="A88" s="1153">
        <v>28</v>
      </c>
      <c r="B88" s="3433"/>
      <c r="C88" s="1067" t="s">
        <v>1557</v>
      </c>
      <c r="D88" s="1067" t="s">
        <v>1558</v>
      </c>
      <c r="E88" s="1138">
        <v>0.2</v>
      </c>
      <c r="F88" s="1153">
        <v>30</v>
      </c>
    </row>
    <row r="89" spans="1:6" s="1104" customFormat="1" ht="24">
      <c r="A89" s="1153">
        <v>29</v>
      </c>
      <c r="B89" s="3433"/>
      <c r="C89" s="1067" t="s">
        <v>1559</v>
      </c>
      <c r="D89" s="1067" t="s">
        <v>1560</v>
      </c>
      <c r="E89" s="1138">
        <v>0.2</v>
      </c>
      <c r="F89" s="1153">
        <v>30</v>
      </c>
    </row>
    <row r="90" spans="1:6" s="1104" customFormat="1" ht="24">
      <c r="A90" s="1153">
        <v>30</v>
      </c>
      <c r="B90" s="3433"/>
      <c r="C90" s="1067" t="s">
        <v>1561</v>
      </c>
      <c r="D90" s="1067" t="s">
        <v>1562</v>
      </c>
      <c r="E90" s="1138">
        <v>0.2</v>
      </c>
      <c r="F90" s="1153">
        <v>30</v>
      </c>
    </row>
    <row r="91" spans="1:6" s="1104" customFormat="1" ht="36">
      <c r="A91" s="1153">
        <v>31</v>
      </c>
      <c r="B91" s="3433"/>
      <c r="C91" s="1067" t="s">
        <v>1563</v>
      </c>
      <c r="D91" s="1067" t="s">
        <v>1564</v>
      </c>
      <c r="E91" s="1138">
        <v>0.2</v>
      </c>
      <c r="F91" s="1153">
        <v>30</v>
      </c>
    </row>
    <row r="92" spans="1:6" s="1104" customFormat="1" ht="24">
      <c r="A92" s="1153">
        <v>32</v>
      </c>
      <c r="B92" s="3433" t="s">
        <v>1565</v>
      </c>
      <c r="C92" s="1153" t="s">
        <v>1566</v>
      </c>
      <c r="D92" s="1067" t="s">
        <v>1567</v>
      </c>
      <c r="E92" s="1138">
        <v>0.2</v>
      </c>
      <c r="F92" s="1153">
        <v>30</v>
      </c>
    </row>
    <row r="93" spans="1:6" s="1104" customFormat="1" ht="36">
      <c r="A93" s="1153">
        <v>33</v>
      </c>
      <c r="B93" s="3433"/>
      <c r="C93" s="1153" t="s">
        <v>1568</v>
      </c>
      <c r="D93" s="1067" t="s">
        <v>1569</v>
      </c>
      <c r="E93" s="1138">
        <v>0.2</v>
      </c>
      <c r="F93" s="1153">
        <v>30</v>
      </c>
    </row>
    <row r="94" spans="1:6" s="1104" customFormat="1" ht="48">
      <c r="A94" s="1153">
        <v>34</v>
      </c>
      <c r="B94" s="3433"/>
      <c r="C94" s="1153" t="s">
        <v>1570</v>
      </c>
      <c r="D94" s="1067" t="s">
        <v>1571</v>
      </c>
      <c r="E94" s="1138">
        <v>0.2</v>
      </c>
      <c r="F94" s="1153">
        <v>30</v>
      </c>
    </row>
    <row r="95" spans="1:6" s="1104" customFormat="1" ht="36">
      <c r="A95" s="1153">
        <v>35</v>
      </c>
      <c r="B95" s="3433"/>
      <c r="C95" s="1153" t="s">
        <v>1572</v>
      </c>
      <c r="D95" s="1067" t="s">
        <v>1573</v>
      </c>
      <c r="E95" s="1138">
        <v>0.2</v>
      </c>
      <c r="F95" s="1153">
        <v>30</v>
      </c>
    </row>
    <row r="96" spans="1:6" s="1104" customFormat="1" ht="48">
      <c r="A96" s="1153">
        <v>36</v>
      </c>
      <c r="B96" s="3433"/>
      <c r="C96" s="1067" t="s">
        <v>1574</v>
      </c>
      <c r="D96" s="1067" t="s">
        <v>1575</v>
      </c>
      <c r="E96" s="1138">
        <v>0.2</v>
      </c>
      <c r="F96" s="1153">
        <v>30</v>
      </c>
    </row>
    <row r="97" spans="1:6" s="1104" customFormat="1" ht="36">
      <c r="A97" s="1153">
        <v>37</v>
      </c>
      <c r="B97" s="3433"/>
      <c r="C97" s="1153" t="s">
        <v>1576</v>
      </c>
      <c r="D97" s="1067" t="s">
        <v>1577</v>
      </c>
      <c r="E97" s="1138">
        <v>0.2</v>
      </c>
      <c r="F97" s="1153">
        <v>30</v>
      </c>
    </row>
    <row r="98" spans="1:6" s="1104" customFormat="1" ht="36">
      <c r="A98" s="1153">
        <v>38</v>
      </c>
      <c r="B98" s="3433"/>
      <c r="C98" s="1153" t="s">
        <v>1578</v>
      </c>
      <c r="D98" s="1067" t="s">
        <v>1579</v>
      </c>
      <c r="E98" s="1138">
        <v>0.2</v>
      </c>
      <c r="F98" s="1153">
        <v>30</v>
      </c>
    </row>
    <row r="99" spans="1:6" s="1104" customFormat="1" ht="36">
      <c r="A99" s="1153">
        <v>39</v>
      </c>
      <c r="B99" s="3433" t="s">
        <v>1580</v>
      </c>
      <c r="C99" s="1153" t="s">
        <v>1581</v>
      </c>
      <c r="D99" s="1067" t="s">
        <v>1582</v>
      </c>
      <c r="E99" s="1138">
        <v>0.3</v>
      </c>
      <c r="F99" s="1153">
        <v>50</v>
      </c>
    </row>
    <row r="100" spans="1:6" s="1104" customFormat="1" ht="24">
      <c r="A100" s="1153">
        <v>40</v>
      </c>
      <c r="B100" s="3433"/>
      <c r="C100" s="1153" t="s">
        <v>1583</v>
      </c>
      <c r="D100" s="1067" t="s">
        <v>1584</v>
      </c>
      <c r="E100" s="1138">
        <v>0.2</v>
      </c>
      <c r="F100" s="1153">
        <v>30</v>
      </c>
    </row>
    <row r="101" spans="1:6" s="1104" customFormat="1" ht="36">
      <c r="A101" s="1153">
        <v>41</v>
      </c>
      <c r="B101" s="3433"/>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3" t="s">
        <v>1595</v>
      </c>
      <c r="C105" s="1153" t="s">
        <v>1596</v>
      </c>
      <c r="D105" s="1067" t="s">
        <v>1597</v>
      </c>
      <c r="E105" s="1138">
        <v>0.2</v>
      </c>
      <c r="F105" s="1153">
        <v>30</v>
      </c>
    </row>
    <row r="106" spans="1:6" s="1104" customFormat="1" ht="36">
      <c r="A106" s="1153">
        <v>46</v>
      </c>
      <c r="B106" s="3433"/>
      <c r="C106" s="1153" t="s">
        <v>1598</v>
      </c>
      <c r="D106" s="1067" t="s">
        <v>1599</v>
      </c>
      <c r="E106" s="1138">
        <v>0.2</v>
      </c>
      <c r="F106" s="1153">
        <v>30</v>
      </c>
    </row>
    <row r="107" spans="1:6" s="1104" customFormat="1" ht="36">
      <c r="A107" s="1153">
        <v>47</v>
      </c>
      <c r="B107" s="3433" t="s">
        <v>1600</v>
      </c>
      <c r="C107" s="1153" t="s">
        <v>1601</v>
      </c>
      <c r="D107" s="1067" t="s">
        <v>1602</v>
      </c>
      <c r="E107" s="1138">
        <v>0.3</v>
      </c>
      <c r="F107" s="1153">
        <v>50</v>
      </c>
    </row>
    <row r="108" spans="1:6" s="1104" customFormat="1" ht="36">
      <c r="A108" s="1153">
        <v>48</v>
      </c>
      <c r="B108" s="3433"/>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3" t="s">
        <v>1611</v>
      </c>
      <c r="C111" s="1153" t="s">
        <v>1612</v>
      </c>
      <c r="D111" s="1067" t="s">
        <v>1613</v>
      </c>
      <c r="E111" s="1138">
        <v>0.2</v>
      </c>
      <c r="F111" s="1153">
        <v>30</v>
      </c>
    </row>
    <row r="112" spans="1:6" s="1104" customFormat="1" ht="24">
      <c r="A112" s="1153">
        <v>52</v>
      </c>
      <c r="B112" s="3433"/>
      <c r="C112" s="1153" t="s">
        <v>1614</v>
      </c>
      <c r="D112" s="1067" t="s">
        <v>1615</v>
      </c>
      <c r="E112" s="1138">
        <v>0.2</v>
      </c>
      <c r="F112" s="1153">
        <v>30</v>
      </c>
    </row>
    <row r="113" spans="1:14" s="1104" customFormat="1" ht="24">
      <c r="A113" s="1153">
        <v>53</v>
      </c>
      <c r="B113" s="3433"/>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3" t="s">
        <v>1624</v>
      </c>
      <c r="C116" s="1153" t="s">
        <v>1625</v>
      </c>
      <c r="D116" s="1067" t="s">
        <v>1626</v>
      </c>
      <c r="E116" s="1138">
        <v>0.2</v>
      </c>
      <c r="F116" s="1153">
        <v>30</v>
      </c>
    </row>
    <row r="117" spans="1:14" ht="36">
      <c r="A117" s="1153">
        <v>57</v>
      </c>
      <c r="B117" s="3433"/>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32" t="s">
        <v>1633</v>
      </c>
      <c r="B121" s="3432"/>
      <c r="C121" s="3432"/>
      <c r="D121" s="3432"/>
      <c r="E121" s="3432"/>
      <c r="F121" s="3432"/>
      <c r="G121" s="3432"/>
      <c r="H121" s="3432"/>
      <c r="I121" s="3432"/>
      <c r="J121" s="343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7" t="s">
        <v>1039</v>
      </c>
      <c r="B1" s="3437"/>
      <c r="C1" s="3437"/>
      <c r="D1" s="3437"/>
      <c r="E1" s="3437"/>
      <c r="F1" s="3437"/>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8" t="s">
        <v>1052</v>
      </c>
      <c r="B2" s="3438"/>
      <c r="C2" s="3438"/>
      <c r="D2" s="3438"/>
      <c r="E2" s="3438"/>
      <c r="F2" s="3438"/>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9"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0"/>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1" t="s">
        <v>2081</v>
      </c>
      <c r="B1" s="3441"/>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2080</v>
      </c>
      <c r="D3" s="3107" t="s">
        <v>2952</v>
      </c>
      <c r="E3" s="3108">
        <f ca="1">SUMIF(E7:E14,"&lt;&gt;#ref!",E7:E14)</f>
        <v>0</v>
      </c>
      <c r="F3" s="3106"/>
    </row>
    <row r="4" spans="1:6" ht="14.25">
      <c r="A4" s="3107" t="s">
        <v>2959</v>
      </c>
      <c r="B4" s="3108" t="e">
        <f ca="1">ROUND(B2*10000/E4,0)</f>
        <v>#DIV/0!</v>
      </c>
      <c r="C4" s="3107" t="s">
        <v>2080</v>
      </c>
      <c r="D4" s="3107" t="s">
        <v>2960</v>
      </c>
      <c r="E4" s="3108">
        <f ca="1">SUMIF(F7:F14,"&lt;&gt;#ref!",F7:F14)</f>
        <v>0</v>
      </c>
      <c r="F4" s="3106"/>
    </row>
    <row r="5" spans="1:6" ht="14.25">
      <c r="A5" s="3109"/>
      <c r="B5" s="1881"/>
      <c r="C5" s="1881"/>
      <c r="D5" s="1881"/>
      <c r="E5" s="1881"/>
      <c r="F5" s="3106"/>
    </row>
    <row r="6" spans="1:6" ht="28.5">
      <c r="A6" s="3110" t="s">
        <v>2956</v>
      </c>
      <c r="B6" s="3107" t="s">
        <v>2953</v>
      </c>
      <c r="C6" s="3108"/>
      <c r="D6" s="1881"/>
      <c r="E6" s="3107" t="s">
        <v>2954</v>
      </c>
      <c r="F6" s="3107" t="s">
        <v>2958</v>
      </c>
    </row>
    <row r="7" spans="1:6" ht="14.25">
      <c r="A7" s="260" t="s">
        <v>2957</v>
      </c>
      <c r="B7" s="3111" t="e">
        <f ca="1">SUMIF(INDIRECT("'"&amp;A7&amp;"'"&amp;"!A:A"),"总价",INDIRECT("'"&amp;A7&amp;"'"&amp;"!B:B"))</f>
        <v>#DIV/0!</v>
      </c>
      <c r="C7" s="3107" t="s">
        <v>2951</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1"/>
      <c r="E9" s="3112" t="e">
        <f t="shared" ca="1" si="1"/>
        <v>#REF!</v>
      </c>
      <c r="F9" s="3112" t="e">
        <f t="shared" ca="1" si="2"/>
        <v>#REF!</v>
      </c>
    </row>
    <row r="10" spans="1:6" ht="14.25">
      <c r="A10" s="260"/>
      <c r="B10" s="3111" t="e">
        <f t="shared" ca="1" si="0"/>
        <v>#REF!</v>
      </c>
      <c r="C10" s="3107" t="s">
        <v>2951</v>
      </c>
      <c r="D10" s="1881"/>
      <c r="E10" s="3112" t="e">
        <f t="shared" ca="1" si="1"/>
        <v>#REF!</v>
      </c>
      <c r="F10" s="3112" t="e">
        <f t="shared" ca="1" si="2"/>
        <v>#REF!</v>
      </c>
    </row>
    <row r="11" spans="1:6" ht="14.25">
      <c r="A11" s="260"/>
      <c r="B11" s="3111" t="e">
        <f t="shared" ca="1" si="0"/>
        <v>#REF!</v>
      </c>
      <c r="C11" s="3107" t="s">
        <v>2951</v>
      </c>
      <c r="D11" s="1881"/>
      <c r="E11" s="3112" t="e">
        <f t="shared" ca="1" si="1"/>
        <v>#REF!</v>
      </c>
      <c r="F11" s="3112" t="e">
        <f t="shared" ca="1" si="2"/>
        <v>#REF!</v>
      </c>
    </row>
    <row r="12" spans="1:6" ht="14.25">
      <c r="A12" s="260"/>
      <c r="B12" s="3111" t="e">
        <f t="shared" ca="1" si="0"/>
        <v>#REF!</v>
      </c>
      <c r="C12" s="3107" t="s">
        <v>2951</v>
      </c>
      <c r="D12" s="1881"/>
      <c r="E12" s="3112" t="e">
        <f t="shared" ca="1" si="1"/>
        <v>#REF!</v>
      </c>
      <c r="F12" s="3112" t="e">
        <f t="shared" ca="1" si="2"/>
        <v>#REF!</v>
      </c>
    </row>
    <row r="13" spans="1:6" ht="14.25">
      <c r="A13" s="260"/>
      <c r="B13" s="3111" t="e">
        <f t="shared" ca="1" si="0"/>
        <v>#REF!</v>
      </c>
      <c r="C13" s="3107" t="s">
        <v>2951</v>
      </c>
      <c r="D13" s="1881"/>
      <c r="E13" s="3112" t="e">
        <f t="shared" ca="1" si="1"/>
        <v>#REF!</v>
      </c>
      <c r="F13" s="3112" t="e">
        <f t="shared" ca="1" si="2"/>
        <v>#REF!</v>
      </c>
    </row>
    <row r="14" spans="1:6" ht="14.25">
      <c r="A14" s="3105"/>
      <c r="B14" s="3111" t="e">
        <f t="shared" ca="1" si="0"/>
        <v>#REF!</v>
      </c>
      <c r="C14" s="3107" t="s">
        <v>2951</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-3</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43" t="s">
        <v>2465</v>
      </c>
      <c r="C8" s="1825">
        <f ca="1">ROUND(F8*F10*F9*(1-F11)/10000,0)</f>
        <v>0</v>
      </c>
      <c r="D8" s="1822" t="s">
        <v>2536</v>
      </c>
      <c r="E8" s="61" t="s">
        <v>636</v>
      </c>
      <c r="F8" s="785">
        <f ca="1">INDIRECT("'数据-取费表'!u"&amp;$G$1)</f>
        <v>0</v>
      </c>
      <c r="G8" s="1591"/>
      <c r="H8" s="2504" t="s">
        <v>1824</v>
      </c>
      <c r="I8" s="3443" t="s">
        <v>2465</v>
      </c>
      <c r="J8" s="783">
        <f ca="1">ROUND(M8*M10*M9*(1-M11)/10000,0)</f>
        <v>0</v>
      </c>
      <c r="K8" s="341" t="s">
        <v>2536</v>
      </c>
      <c r="L8" s="784" t="s">
        <v>1738</v>
      </c>
      <c r="M8" s="785">
        <f ca="1">INDIRECT("'数据-取费表'!z"&amp;$G$1)</f>
        <v>0</v>
      </c>
    </row>
    <row r="9" spans="1:25" ht="18" customHeight="1">
      <c r="A9" s="2500"/>
      <c r="B9" s="3444"/>
      <c r="C9" s="1826"/>
      <c r="D9" s="1823"/>
      <c r="E9" s="61" t="s">
        <v>637</v>
      </c>
      <c r="F9" s="785">
        <f ca="1">IF(INDIRECT("'数据-取费表'!ah"&amp;$G$1)="",INDIRECT("'数据-取费表'!k"&amp;$G$1),INDIRECT("'数据-取费表'!ah"&amp;$G$1))</f>
        <v>0</v>
      </c>
      <c r="G9" s="1591"/>
      <c r="H9" s="2489"/>
      <c r="I9" s="3444"/>
      <c r="J9" s="788"/>
      <c r="K9" s="789"/>
      <c r="L9" s="784" t="s">
        <v>1739</v>
      </c>
      <c r="M9" s="785">
        <f ca="1">F9</f>
        <v>0</v>
      </c>
    </row>
    <row r="10" spans="1:25" ht="18" customHeight="1">
      <c r="A10" s="2493"/>
      <c r="B10" s="3445"/>
      <c r="C10" s="1826"/>
      <c r="D10" s="1823"/>
      <c r="E10" s="61" t="s">
        <v>638</v>
      </c>
      <c r="F10" s="785">
        <f ca="1">INDIRECT("'数据-取费表'!ai"&amp;$G$1)</f>
        <v>0</v>
      </c>
      <c r="G10" s="1591"/>
      <c r="H10" s="2489"/>
      <c r="I10" s="3445"/>
      <c r="J10" s="788"/>
      <c r="K10" s="789"/>
      <c r="L10" s="784" t="s">
        <v>1740</v>
      </c>
      <c r="M10" s="785">
        <f ca="1">INDIRECT("'数据-取费表'!ai"&amp;$G$1)</f>
        <v>0</v>
      </c>
    </row>
    <row r="11" spans="1:25" ht="18" customHeight="1">
      <c r="A11" s="786"/>
      <c r="B11" s="3446"/>
      <c r="C11" s="1826"/>
      <c r="D11" s="1823"/>
      <c r="E11" s="61" t="s">
        <v>639</v>
      </c>
      <c r="F11" s="794">
        <f ca="1">INDIRECT("'数据-取费表'!w"&amp;$G$1)</f>
        <v>0</v>
      </c>
      <c r="G11" s="1591"/>
      <c r="H11" s="2505"/>
      <c r="I11" s="3445"/>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500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5.3000000000000005E-2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0</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3</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2.2000000000000001E-3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5.0500000000000003E-2</v>
      </c>
      <c r="D30" s="812" t="s">
        <v>708</v>
      </c>
      <c r="E30" s="784" t="s">
        <v>648</v>
      </c>
      <c r="F30" s="809">
        <f>'数据-取费表'!B41</f>
        <v>5.3000000000000005E-2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5.3000000000000005E-2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0</v>
      </c>
      <c r="G36" s="2062"/>
      <c r="H36" s="2065"/>
      <c r="I36" s="3442"/>
      <c r="J36" s="2079"/>
      <c r="K36" s="2080"/>
      <c r="L36" s="2079"/>
      <c r="M36" s="2079"/>
    </row>
    <row r="37" spans="1:18" ht="18" customHeight="1">
      <c r="A37" s="815"/>
      <c r="B37" s="793"/>
      <c r="C37" s="69"/>
      <c r="D37" s="816"/>
      <c r="E37" s="784" t="s">
        <v>673</v>
      </c>
      <c r="F37" s="785">
        <f ca="1">INDIRECT("'数据-取费表'!r"&amp;$G$1)</f>
        <v>0</v>
      </c>
      <c r="G37" s="2062"/>
      <c r="H37" s="2065"/>
      <c r="I37" s="3442"/>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2968</v>
      </c>
      <c r="F43" s="3124">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5" t="s">
        <v>2971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str">
        <f ca="1">IF(M48="住宅",0,IF(L49&gt;J52,L61,J61))</f>
        <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29.25" thickBot="1">
      <c r="A54" s="2096"/>
      <c r="I54" s="3154" t="s">
        <v>2985</v>
      </c>
      <c r="J54" s="3157">
        <f ca="1">IF(M48="住宅",MAX(J52,L49-'数据-取费表'!B20),MIN(J52,L49-'数据-取费表'!B20))</f>
        <v>-3</v>
      </c>
      <c r="K54" s="3447"/>
      <c r="L54" s="3448"/>
      <c r="O54" s="2401" t="s">
        <v>2390</v>
      </c>
      <c r="P54" s="2399" t="s">
        <v>2391</v>
      </c>
      <c r="Q54" s="2400">
        <f ca="1">J54</f>
        <v>-3</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f ca="1">Q49+Q50</f>
        <v>0</v>
      </c>
      <c r="R55" s="2403" t="s">
        <v>2394</v>
      </c>
    </row>
    <row r="56" spans="1:18" s="2059" customFormat="1" ht="16.5"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3.5" thickBot="1">
      <c r="A57" s="2096"/>
      <c r="B57" s="2097"/>
      <c r="C57" s="2097"/>
      <c r="I57" s="3168" t="s">
        <v>2359</v>
      </c>
      <c r="J57" s="3178" t="s">
        <v>1678</v>
      </c>
      <c r="K57" s="3127" t="s">
        <v>2364</v>
      </c>
      <c r="L57" s="1908">
        <f ca="1">IF(L49&lt;J52,"——",L49-J52)</f>
        <v>0</v>
      </c>
      <c r="O57" s="2395" t="s">
        <v>2377</v>
      </c>
      <c r="P57" s="2396" t="s">
        <v>2378</v>
      </c>
      <c r="Q57" s="2397" t="s">
        <v>2379</v>
      </c>
      <c r="R57" s="2396" t="s">
        <v>2380</v>
      </c>
    </row>
    <row r="58" spans="1:18" s="2059" customFormat="1" ht="29.25"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4" t="s">
        <v>2369</v>
      </c>
      <c r="J63" s="3175" t="s">
        <v>2370</v>
      </c>
      <c r="K63" s="3175" t="s">
        <v>2371</v>
      </c>
      <c r="L63" s="3175" t="s">
        <v>2352</v>
      </c>
      <c r="M63" s="3176" t="s">
        <v>2948</v>
      </c>
      <c r="O63" s="2401" t="s">
        <v>2390</v>
      </c>
      <c r="P63" s="2399" t="s">
        <v>2398</v>
      </c>
      <c r="Q63" s="2400">
        <f ca="1">L60</f>
        <v>0</v>
      </c>
      <c r="R63" s="2403" t="s">
        <v>2399</v>
      </c>
    </row>
    <row r="64" spans="1:18" s="2059" customFormat="1" ht="15.75" thickBot="1">
      <c r="A64" s="2096"/>
      <c r="B64" s="2097"/>
      <c r="C64" s="2097"/>
      <c r="I64" s="3174" t="s">
        <v>2372</v>
      </c>
      <c r="J64" s="3175">
        <v>70</v>
      </c>
      <c r="K64" s="3175">
        <v>50</v>
      </c>
      <c r="L64" s="3175">
        <v>80</v>
      </c>
      <c r="M64" s="3177">
        <v>0.02</v>
      </c>
      <c r="O64" s="2398" t="s">
        <v>2393</v>
      </c>
      <c r="P64" s="2399" t="s">
        <v>2410</v>
      </c>
      <c r="Q64" s="2400" t="e">
        <f ca="1">Q58+Q59</f>
        <v>#DIV/0!</v>
      </c>
      <c r="R64" s="2403" t="s">
        <v>2394</v>
      </c>
    </row>
    <row r="65" spans="1:18" s="2059" customFormat="1" ht="16.5" thickBot="1">
      <c r="A65" s="2096"/>
      <c r="B65" s="2097"/>
      <c r="C65" s="2097"/>
      <c r="I65" s="3174" t="s">
        <v>2373</v>
      </c>
      <c r="J65" s="3175">
        <v>50</v>
      </c>
      <c r="K65" s="3175">
        <v>35</v>
      </c>
      <c r="L65" s="3175">
        <v>60</v>
      </c>
      <c r="M65" s="846">
        <v>0</v>
      </c>
      <c r="O65" s="2404" t="s">
        <v>2417</v>
      </c>
      <c r="P65" s="1591"/>
      <c r="Q65" s="1603"/>
      <c r="R65" s="1591"/>
    </row>
    <row r="66" spans="1:18" s="2059" customFormat="1" ht="15.75"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5" t="s">
        <v>2578</v>
      </c>
      <c r="C1" s="3455"/>
      <c r="D1" s="3455"/>
      <c r="E1" s="3455"/>
      <c r="F1" s="3455"/>
      <c r="G1" s="3454" t="s">
        <v>2579</v>
      </c>
      <c r="H1" s="3454"/>
      <c r="I1" s="3454"/>
      <c r="J1" s="3454"/>
      <c r="K1" s="3454"/>
      <c r="L1" s="3454"/>
      <c r="N1" s="3454" t="s">
        <v>2580</v>
      </c>
      <c r="O1" s="3454"/>
      <c r="P1" s="3454"/>
      <c r="Q1" s="3454"/>
      <c r="R1" s="2654"/>
      <c r="S1" s="3454" t="s">
        <v>2581</v>
      </c>
      <c r="T1" s="3454"/>
      <c r="U1" s="3454"/>
      <c r="V1" s="3454"/>
      <c r="X1" s="3453" t="s">
        <v>2641</v>
      </c>
      <c r="Y1" s="3454"/>
      <c r="Z1" s="3454"/>
      <c r="AA1" s="3454"/>
      <c r="AB1" s="3454"/>
      <c r="AD1" s="3453" t="s">
        <v>2645</v>
      </c>
      <c r="AE1" s="3454"/>
      <c r="AF1" s="3454"/>
      <c r="AG1" s="3454"/>
      <c r="AH1" s="3454"/>
    </row>
    <row r="2" spans="1:34" s="2756" customFormat="1" ht="14.2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25">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52">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0"/>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0"/>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1"/>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49">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0"/>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0"/>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1"/>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49">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0"/>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0"/>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1"/>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56">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7"/>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57"/>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58"/>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49">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0"/>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0"/>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51"/>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49">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0">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0">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1">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49">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0">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0">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1">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49">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0">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0">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1">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49">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0">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0">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1">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49">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0">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0">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1">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49">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0">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0">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1">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49">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0">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0">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1">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49">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0">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0">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1">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49">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0">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0">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51">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49">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0">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0">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51">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2947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本次估价对象为出让国有建设用地使用权，《国有土地使用证》[]证载土地终止日期为住宅2078年12月3日、旅游2048年12月3日。截至估价期日，出让国有建设用地使用权剩余土地使用年限为。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Normal="100" workbookViewId="0">
      <selection activeCell="C29" sqref="C2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3166</v>
      </c>
      <c r="D1" s="3126" t="s">
        <v>3150</v>
      </c>
      <c r="E1" s="2387" t="s">
        <v>2376</v>
      </c>
      <c r="F1" s="2388">
        <f ca="1">J53</f>
        <v>27.3</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557</v>
      </c>
      <c r="C2" s="2057"/>
      <c r="D2" s="2055"/>
      <c r="E2" s="2056"/>
      <c r="F2" s="2056"/>
      <c r="G2" s="1589"/>
      <c r="H2" s="2057"/>
      <c r="I2" s="2057"/>
      <c r="J2" s="2057"/>
      <c r="K2" s="2058"/>
      <c r="L2" s="2057"/>
      <c r="M2" s="2057"/>
    </row>
    <row r="3" spans="1:33" ht="18" customHeight="1" thickBot="1">
      <c r="A3" s="833" t="s">
        <v>1727</v>
      </c>
      <c r="B3" s="834">
        <f ca="1">IF(ISERROR(B2*10000/F43),0,ROUND(B2*10000/F43,0))</f>
        <v>7015</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42</v>
      </c>
      <c r="D5" s="2496" t="s">
        <v>2463</v>
      </c>
      <c r="E5" s="2490"/>
      <c r="F5" s="2491"/>
      <c r="G5" s="1591"/>
      <c r="H5" s="781">
        <v>1</v>
      </c>
      <c r="I5" s="782" t="s">
        <v>2460</v>
      </c>
      <c r="J5" s="55">
        <f ca="1">J6+J10+J12</f>
        <v>0</v>
      </c>
      <c r="K5" s="2496" t="s">
        <v>2463</v>
      </c>
      <c r="L5" s="2490"/>
      <c r="M5" s="2491"/>
    </row>
    <row r="6" spans="1:33" ht="18" customHeight="1">
      <c r="A6" s="1830" t="s">
        <v>1824</v>
      </c>
      <c r="B6" s="3443" t="s">
        <v>2465</v>
      </c>
      <c r="C6" s="783">
        <f ca="1">ROUND(F6*F8*F7*(1-F9)/10000,0)</f>
        <v>42</v>
      </c>
      <c r="D6" s="2497" t="s">
        <v>2464</v>
      </c>
      <c r="E6" s="784" t="s">
        <v>1738</v>
      </c>
      <c r="F6" s="785">
        <f ca="1">INDIRECT("'数据-取费表'!u"&amp;$G$1)</f>
        <v>1.7</v>
      </c>
      <c r="G6" s="1591"/>
      <c r="H6" s="2504" t="s">
        <v>2470</v>
      </c>
      <c r="I6" s="3443" t="s">
        <v>2465</v>
      </c>
      <c r="J6" s="783">
        <f ca="1">ROUND(M6*M8*M7*(1-M9)/10000,0)</f>
        <v>0</v>
      </c>
      <c r="K6" s="341" t="s">
        <v>1737</v>
      </c>
      <c r="L6" s="784" t="s">
        <v>1738</v>
      </c>
      <c r="M6" s="785">
        <f ca="1">INDIRECT("'数据-取费表'!z"&amp;$G$1)</f>
        <v>0</v>
      </c>
    </row>
    <row r="7" spans="1:33" ht="18" customHeight="1">
      <c r="A7" s="2500"/>
      <c r="B7" s="3444"/>
      <c r="C7" s="788"/>
      <c r="D7" s="789"/>
      <c r="E7" s="784" t="s">
        <v>1739</v>
      </c>
      <c r="F7" s="785">
        <f ca="1">IF(INDIRECT("'数据-取费表'!ah"&amp;$G$1)="",INDIRECT("'数据-取费表'!k"&amp;$G$1),INDIRECT("'数据-取费表'!ah"&amp;$G$1))</f>
        <v>794</v>
      </c>
      <c r="G7" s="1591"/>
      <c r="H7" s="2489"/>
      <c r="I7" s="3444"/>
      <c r="J7" s="788"/>
      <c r="K7" s="789"/>
      <c r="L7" s="784" t="s">
        <v>1739</v>
      </c>
      <c r="M7" s="785">
        <f ca="1">F7</f>
        <v>794</v>
      </c>
    </row>
    <row r="8" spans="1:33" ht="18" customHeight="1">
      <c r="A8" s="2493"/>
      <c r="B8" s="3445"/>
      <c r="C8" s="788"/>
      <c r="D8" s="789"/>
      <c r="E8" s="784" t="s">
        <v>1740</v>
      </c>
      <c r="F8" s="785">
        <f ca="1">INDIRECT("'数据-取费表'!ai"&amp;$G$1)</f>
        <v>365</v>
      </c>
      <c r="G8" s="1591"/>
      <c r="H8" s="2489"/>
      <c r="I8" s="3445"/>
      <c r="J8" s="788"/>
      <c r="K8" s="789"/>
      <c r="L8" s="784" t="s">
        <v>1740</v>
      </c>
      <c r="M8" s="785">
        <f ca="1">INDIRECT("'数据-取费表'!ai"&amp;$G$1)</f>
        <v>365</v>
      </c>
    </row>
    <row r="9" spans="1:33" ht="18" customHeight="1">
      <c r="A9" s="786"/>
      <c r="B9" s="3446"/>
      <c r="C9" s="788"/>
      <c r="D9" s="789"/>
      <c r="E9" s="784" t="s">
        <v>1741</v>
      </c>
      <c r="F9" s="794">
        <f ca="1">INDIRECT("'数据-取费表'!w"&amp;$G$1)</f>
        <v>0.15</v>
      </c>
      <c r="G9" s="1591"/>
      <c r="H9" s="2505"/>
      <c r="I9" s="3445"/>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345</v>
      </c>
      <c r="D13" s="1834" t="s">
        <v>2299</v>
      </c>
      <c r="E13" s="1834" t="s">
        <v>1744</v>
      </c>
      <c r="F13" s="2536">
        <f ca="1">INDIRECT("'数据-取费表'!y"&amp;$G$1)</f>
        <v>1</v>
      </c>
      <c r="G13" s="1591"/>
      <c r="H13" s="1829">
        <v>2</v>
      </c>
      <c r="I13" s="1827" t="s">
        <v>1742</v>
      </c>
      <c r="J13" s="1819">
        <f ca="1">ROUND(J14*J15,0)</f>
        <v>345</v>
      </c>
      <c r="K13" s="1821" t="s">
        <v>1743</v>
      </c>
      <c r="L13" s="2552"/>
      <c r="M13" s="2553"/>
    </row>
    <row r="14" spans="1:33" ht="18" customHeight="1">
      <c r="A14" s="1647" t="s">
        <v>1884</v>
      </c>
      <c r="B14" s="784" t="s">
        <v>644</v>
      </c>
      <c r="C14" s="804">
        <f ca="1">INDIRECT("'数据-取费表'!m"&amp;$G$1)+INDIRECT("'数据-取费表'!t"&amp;$G$1)</f>
        <v>199</v>
      </c>
      <c r="D14" s="1979" t="s">
        <v>1745</v>
      </c>
      <c r="E14" s="1980"/>
      <c r="F14" s="805"/>
      <c r="G14" s="1591"/>
      <c r="H14" s="1648" t="s">
        <v>1830</v>
      </c>
      <c r="I14" s="2231" t="s">
        <v>2828</v>
      </c>
      <c r="J14" s="53">
        <f ca="1">C29</f>
        <v>345</v>
      </c>
      <c r="K14" s="26"/>
      <c r="L14" s="801"/>
      <c r="M14" s="802"/>
    </row>
    <row r="15" spans="1:33" s="2064" customFormat="1" ht="18" customHeight="1" thickBot="1">
      <c r="A15" s="1647" t="s">
        <v>1885</v>
      </c>
      <c r="B15" s="784" t="s">
        <v>646</v>
      </c>
      <c r="C15" s="53">
        <f ca="1">ROUND(C14*F15,0)</f>
        <v>10</v>
      </c>
      <c r="D15" s="806" t="s">
        <v>1746</v>
      </c>
      <c r="E15" s="806" t="s">
        <v>1747</v>
      </c>
      <c r="F15" s="807">
        <f>'数据-取费表'!B33</f>
        <v>0.05</v>
      </c>
      <c r="G15" s="1592"/>
      <c r="H15" s="2551" t="s">
        <v>1889</v>
      </c>
      <c r="I15" s="2546" t="s">
        <v>1744</v>
      </c>
      <c r="J15" s="2555">
        <f ca="1">INDIRECT("'数据-取费表'!ad"&amp;$G$1)</f>
        <v>1</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35</v>
      </c>
      <c r="K16" s="1821" t="s">
        <v>1750</v>
      </c>
      <c r="L16" s="2486"/>
      <c r="M16" s="2491"/>
    </row>
    <row r="17" spans="1:33" s="2064" customFormat="1" ht="18" customHeight="1">
      <c r="A17" s="1647" t="s">
        <v>1887</v>
      </c>
      <c r="B17" s="784" t="s">
        <v>652</v>
      </c>
      <c r="C17" s="53">
        <f ca="1">ROUND(F17*(F43+INDIRECT("'数据-取费表'!S"&amp;$G$1))/10000,0)</f>
        <v>40</v>
      </c>
      <c r="D17" s="784" t="s">
        <v>1751</v>
      </c>
      <c r="E17" s="784" t="s">
        <v>1752</v>
      </c>
      <c r="F17" s="56">
        <f>'数据-取费表'!B35</f>
        <v>500</v>
      </c>
      <c r="G17" s="1592"/>
      <c r="H17" s="1648" t="s">
        <v>1830</v>
      </c>
      <c r="I17" s="784" t="s">
        <v>655</v>
      </c>
      <c r="J17" s="53">
        <f ca="1">ROUND(IF(项目基本情况!B11="自然人",J5*M17,J18+J19+J20),0)</f>
        <v>29</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3</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5.3000000000000005E-2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252</v>
      </c>
      <c r="D19" s="261" t="s">
        <v>1757</v>
      </c>
      <c r="E19" s="1982"/>
      <c r="F19" s="56"/>
      <c r="G19" s="1591"/>
      <c r="H19" s="1647" t="s">
        <v>1885</v>
      </c>
      <c r="I19" s="784" t="s">
        <v>1758</v>
      </c>
      <c r="J19" s="53">
        <f ca="1">IF(K19="按租金收入计税",ROUND(J5*M19,1),ROUND(C29*F33*0.7,1))</f>
        <v>29</v>
      </c>
      <c r="K19" s="811" t="s">
        <v>664</v>
      </c>
      <c r="L19" s="784" t="s">
        <v>1747</v>
      </c>
      <c r="M19" s="809">
        <f>IF(K19="按租金收入计税",'数据-取费表'!B51,'数据-取费表'!B50)</f>
        <v>1.2E-2</v>
      </c>
    </row>
    <row r="20" spans="1:33" s="2064" customFormat="1" ht="18" customHeight="1">
      <c r="A20" s="1648" t="s">
        <v>1889</v>
      </c>
      <c r="B20" s="784" t="s">
        <v>665</v>
      </c>
      <c r="C20" s="53">
        <f ca="1">ROUND(C19*F20,0)</f>
        <v>5</v>
      </c>
      <c r="D20" s="812" t="s">
        <v>1759</v>
      </c>
      <c r="E20" s="784" t="s">
        <v>1747</v>
      </c>
      <c r="F20" s="809">
        <f>'数据-取费表'!B37</f>
        <v>0.02</v>
      </c>
      <c r="G20" s="1592"/>
      <c r="H20" s="1650" t="s">
        <v>1880</v>
      </c>
      <c r="I20" s="341" t="s">
        <v>1760</v>
      </c>
      <c r="J20" s="54">
        <f ca="1">ROUND(M20*M21/10000,0)</f>
        <v>0</v>
      </c>
      <c r="K20" s="814" t="s">
        <v>1761</v>
      </c>
      <c r="L20" s="784" t="s">
        <v>1762</v>
      </c>
      <c r="M20" s="640">
        <f>'数据-取费表'!B52</f>
        <v>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661.65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19</v>
      </c>
      <c r="D23" s="2571" t="str">
        <f>IF(F23&lt;=1,"(建造成本+管理费用)×利率×(建设周期÷2)","(建造成本+管理费用)×((1+利率)^(建设周期÷2)-1)")</f>
        <v>(建造成本+管理费用)×((1+利率)^(建设周期÷2)-1)</v>
      </c>
      <c r="E23" s="784" t="s">
        <v>1770</v>
      </c>
      <c r="F23" s="640">
        <f>'数据-取费表'!B20</f>
        <v>3</v>
      </c>
      <c r="G23" s="1592"/>
      <c r="H23" s="1648" t="s">
        <v>1890</v>
      </c>
      <c r="I23" s="784" t="s">
        <v>678</v>
      </c>
      <c r="J23" s="53">
        <f ca="1">ROUND(J13*M23,0)</f>
        <v>1</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2.2000000000000001E-3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-35</v>
      </c>
      <c r="K25" s="2548" t="s">
        <v>1777</v>
      </c>
      <c r="L25" s="2549"/>
      <c r="M25" s="2550"/>
    </row>
    <row r="26" spans="1:33" ht="18" customHeight="1">
      <c r="A26" s="1647" t="s">
        <v>1831</v>
      </c>
      <c r="B26" s="784" t="s">
        <v>2440</v>
      </c>
      <c r="C26" s="53">
        <f ca="1">ROUND((C19+C20)*F26,0)</f>
        <v>39</v>
      </c>
      <c r="D26" s="812" t="s">
        <v>1778</v>
      </c>
      <c r="E26" s="795" t="s">
        <v>1779</v>
      </c>
      <c r="F26" s="794">
        <f ca="1">INDIRECT("'数据-取费表'!q"&amp;$G$1)</f>
        <v>0.15</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4.4999999999999997E-3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5.0500000000000003E-2</v>
      </c>
      <c r="D28" s="812" t="s">
        <v>2301</v>
      </c>
      <c r="E28" s="784" t="s">
        <v>1785</v>
      </c>
      <c r="F28" s="809">
        <f>'数据-取费表'!B41</f>
        <v>5.3000000000000005E-2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345</v>
      </c>
      <c r="D29" s="2545"/>
      <c r="E29" s="2546"/>
      <c r="F29" s="2547"/>
      <c r="G29" s="1592"/>
      <c r="H29" s="823" t="s">
        <v>1787</v>
      </c>
      <c r="I29" s="824" t="s">
        <v>1788</v>
      </c>
      <c r="J29" s="825">
        <f ca="1">ROUND(J26/(1+F40)^F41,0)</f>
        <v>0</v>
      </c>
      <c r="K29" s="826" t="s">
        <v>1789</v>
      </c>
      <c r="L29" s="827"/>
      <c r="M29" s="828">
        <f ca="1">INDIRECT("'数据-取费表'!k"&amp;$G$1)</f>
        <v>794</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13</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7.1</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2.1</v>
      </c>
      <c r="D32" s="1977" t="s">
        <v>1795</v>
      </c>
      <c r="E32" s="784" t="s">
        <v>1796</v>
      </c>
      <c r="F32" s="809">
        <f>'数据-取费表'!B41</f>
        <v>5.3000000000000005E-2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5</v>
      </c>
      <c r="D33" s="811" t="s">
        <v>3170</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0</v>
      </c>
      <c r="G34" s="2062"/>
      <c r="H34" s="2065"/>
      <c r="I34" s="835" t="s">
        <v>1813</v>
      </c>
      <c r="J34" s="836"/>
      <c r="K34" s="2080"/>
      <c r="L34" s="2079"/>
      <c r="M34" s="2079"/>
    </row>
    <row r="35" spans="1:18" ht="18" customHeight="1">
      <c r="A35" s="815"/>
      <c r="B35" s="793"/>
      <c r="C35" s="69"/>
      <c r="D35" s="816"/>
      <c r="E35" s="784" t="s">
        <v>1801</v>
      </c>
      <c r="F35" s="785">
        <f ca="1">INDIRECT("'数据-取费表'!r"&amp;$G$1)</f>
        <v>661.65</v>
      </c>
      <c r="G35" s="2062"/>
      <c r="H35" s="2065"/>
      <c r="I35" s="837" t="s">
        <v>1814</v>
      </c>
      <c r="J35" s="838">
        <f ca="1">ROUND(C13*J36,0)</f>
        <v>29</v>
      </c>
      <c r="K35" s="2078"/>
      <c r="L35" s="2077"/>
      <c r="M35" s="2077"/>
    </row>
    <row r="36" spans="1:18" ht="18" customHeight="1">
      <c r="A36" s="1648" t="s">
        <v>1889</v>
      </c>
      <c r="B36" s="784" t="s">
        <v>1802</v>
      </c>
      <c r="C36" s="53">
        <f ca="1">ROUND(C29*F36,1)</f>
        <v>5.2</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0.4</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29</v>
      </c>
      <c r="D39" s="2548" t="s">
        <v>1806</v>
      </c>
      <c r="E39" s="2549"/>
      <c r="F39" s="2550"/>
      <c r="G39" s="2062"/>
      <c r="H39" s="2077"/>
      <c r="I39" s="837" t="s">
        <v>1818</v>
      </c>
      <c r="J39" s="845">
        <f ca="1">ROUND(J35/C39,3)</f>
        <v>1</v>
      </c>
      <c r="K39" s="2083"/>
      <c r="L39" s="2077"/>
      <c r="M39" s="2077"/>
    </row>
    <row r="40" spans="1:18" ht="18" customHeight="1">
      <c r="A40" s="781" t="s">
        <v>1895</v>
      </c>
      <c r="B40" s="2232" t="s">
        <v>2303</v>
      </c>
      <c r="C40" s="783">
        <f ca="1">ROUND(C39*(1-((1+F42)/(1+F40))^F41)/(F40-F42),0)</f>
        <v>557</v>
      </c>
      <c r="D40" s="814" t="s">
        <v>1807</v>
      </c>
      <c r="E40" s="784" t="s">
        <v>2421</v>
      </c>
      <c r="F40" s="794">
        <f ca="1">INDIRECT("'数据-取费表'!I"&amp;$G$1)</f>
        <v>5.5E-2</v>
      </c>
      <c r="G40" s="2062"/>
      <c r="H40" s="2062"/>
      <c r="I40" s="837" t="s">
        <v>1819</v>
      </c>
      <c r="J40" s="845">
        <f ca="1">1-J39</f>
        <v>0</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27.3</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0.61899999999999999</v>
      </c>
      <c r="K42" s="2082"/>
      <c r="L42" s="1988"/>
      <c r="M42" s="1988"/>
    </row>
    <row r="43" spans="1:18" ht="18" customHeight="1" thickBot="1">
      <c r="A43" s="823" t="s">
        <v>1787</v>
      </c>
      <c r="B43" s="824" t="s">
        <v>1810</v>
      </c>
      <c r="C43" s="825">
        <f ca="1">ROUND(C40*10000/F43,0)</f>
        <v>7015</v>
      </c>
      <c r="D43" s="826" t="s">
        <v>1811</v>
      </c>
      <c r="E43" s="827" t="s">
        <v>1812</v>
      </c>
      <c r="F43" s="828">
        <f ca="1">INDIRECT("'数据-取费表'!k"&amp;$G$1)</f>
        <v>794</v>
      </c>
      <c r="G43" s="2062"/>
      <c r="H43" s="1988"/>
      <c r="I43" s="847" t="s">
        <v>1822</v>
      </c>
      <c r="J43" s="848">
        <f ca="1">1-J42</f>
        <v>0.38100000000000001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-641</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3014</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30.3</v>
      </c>
      <c r="O48" s="2398" t="s">
        <v>2381</v>
      </c>
      <c r="P48" s="2399" t="s">
        <v>2407</v>
      </c>
      <c r="Q48" s="2400">
        <f ca="1">C40+J29</f>
        <v>557</v>
      </c>
      <c r="R48" s="2399" t="s">
        <v>2382</v>
      </c>
    </row>
    <row r="49" spans="1:18" s="2059" customFormat="1" ht="18" customHeight="1" thickBot="1">
      <c r="A49" s="786"/>
      <c r="B49" s="787"/>
      <c r="C49" s="788"/>
      <c r="D49" s="789"/>
      <c r="E49" s="784" t="s">
        <v>1739</v>
      </c>
      <c r="F49" s="785">
        <f ca="1">F7</f>
        <v>794</v>
      </c>
      <c r="G49" s="2090"/>
      <c r="H49" s="2093"/>
      <c r="I49" s="3127" t="s">
        <v>2348</v>
      </c>
      <c r="J49" s="2383"/>
      <c r="K49" s="3160" t="s">
        <v>2354</v>
      </c>
      <c r="L49" s="2384"/>
      <c r="O49" s="2398" t="s">
        <v>2383</v>
      </c>
      <c r="P49" s="2399" t="s">
        <v>2408</v>
      </c>
      <c r="Q49" s="2400">
        <f ca="1">J60</f>
        <v>16</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345</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-5</v>
      </c>
      <c r="O51" s="2401" t="s">
        <v>2386</v>
      </c>
      <c r="P51" s="2399" t="s">
        <v>2387</v>
      </c>
      <c r="Q51" s="2402">
        <f ca="1">J58</f>
        <v>0.495</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f ca="1">IF(M47="住宅",IF(D1="——",MAX(J51,L48),MAX(J51,L48-'数据-取费表'!B20)),IF(D1="——",MIN(J51,L48),MIN(J51,L48-'数据-取费表'!B20)))</f>
        <v>27.3</v>
      </c>
      <c r="K53" s="3459" t="s">
        <v>2972</v>
      </c>
      <c r="L53" s="3460"/>
      <c r="O53" s="2401" t="s">
        <v>2390</v>
      </c>
      <c r="P53" s="2399" t="s">
        <v>2391</v>
      </c>
      <c r="Q53" s="2400">
        <f ca="1">J53</f>
        <v>27.3</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573</v>
      </c>
      <c r="R54" s="2403" t="s">
        <v>2394</v>
      </c>
    </row>
    <row r="55" spans="1:18" s="2059" customFormat="1" ht="18" customHeight="1" thickTop="1" thickBot="1">
      <c r="A55" s="797">
        <v>2</v>
      </c>
      <c r="B55" s="798" t="s">
        <v>643</v>
      </c>
      <c r="C55" s="799">
        <f ca="1">C13</f>
        <v>345</v>
      </c>
      <c r="D55" s="795"/>
      <c r="E55" s="795"/>
      <c r="F55" s="800"/>
      <c r="I55" s="3166" t="s">
        <v>2357</v>
      </c>
      <c r="J55" s="3102">
        <f ca="1">ROUND(IF(J47="钢混",J57/J50,1-(1-2%)*(J50-J57)/J50),3)</f>
        <v>0.495</v>
      </c>
      <c r="K55" s="3167" t="s">
        <v>2358</v>
      </c>
      <c r="L55" s="2386"/>
      <c r="O55" s="2404" t="s">
        <v>2413</v>
      </c>
      <c r="P55" s="1591"/>
      <c r="Q55" s="1603"/>
      <c r="R55" s="1591"/>
    </row>
    <row r="56" spans="1:18" s="2059" customFormat="1" ht="42.75" customHeight="1" thickBot="1">
      <c r="A56" s="1649"/>
      <c r="B56" s="2231" t="s">
        <v>2304</v>
      </c>
      <c r="C56" s="53">
        <f ca="1">C29</f>
        <v>345</v>
      </c>
      <c r="D56" s="2639"/>
      <c r="E56" s="784"/>
      <c r="F56" s="809"/>
      <c r="I56" s="3168" t="s">
        <v>2359</v>
      </c>
      <c r="J56" s="3178" t="s">
        <v>3151</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6</v>
      </c>
      <c r="D57" s="26" t="s">
        <v>1750</v>
      </c>
      <c r="E57" s="2640"/>
      <c r="F57" s="56"/>
      <c r="I57" s="3169" t="s">
        <v>2360</v>
      </c>
      <c r="J57" s="3170">
        <f ca="1">IF(OR(M47="住宅",J51&lt;L48,J56="是"),"——",J51-L48)</f>
        <v>29.7</v>
      </c>
      <c r="K57" s="3127" t="s">
        <v>2365</v>
      </c>
      <c r="L57" s="1908" t="str">
        <f ca="1">IF(L48&lt;J51,"——",IF(L55="比较法",L49,IF(L55="基准地价",L50,L51)))</f>
        <v>——</v>
      </c>
      <c r="O57" s="2398" t="s">
        <v>2381</v>
      </c>
      <c r="P57" s="2399" t="s">
        <v>2411</v>
      </c>
      <c r="Q57" s="2400">
        <f ca="1">C40+J29</f>
        <v>557</v>
      </c>
      <c r="R57" s="2399" t="s">
        <v>2382</v>
      </c>
    </row>
    <row r="58" spans="1:18" s="2059" customFormat="1" ht="28.5" customHeight="1" thickBot="1">
      <c r="A58" s="1648" t="s">
        <v>1824</v>
      </c>
      <c r="B58" s="784" t="s">
        <v>655</v>
      </c>
      <c r="C58" s="53">
        <f ca="1">ROUND(IF(项目基本情况!B11="自然人",C47*F58,C59+C60+C61),1)</f>
        <v>0</v>
      </c>
      <c r="D58" s="2638" t="s">
        <v>656</v>
      </c>
      <c r="E58" s="2639" t="s">
        <v>689</v>
      </c>
      <c r="F58" s="810" t="str">
        <f ca="1">IF(项目基本情况!B11="企业","",IF(INDIRECT("'数据-取费表'!c"&amp;$G$1)="住宅",5%,IF(F48*F49*F50/12/(1+'数据-取费表'!C42)&gt;20000,12%,7%)))</f>
        <v/>
      </c>
      <c r="I58" s="3169" t="s">
        <v>2361</v>
      </c>
      <c r="J58" s="3103">
        <f ca="1">IF(J55&lt;0.4,0.4,J55)</f>
        <v>0.495</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5.3000000000000005E-2</v>
      </c>
      <c r="I59" s="3169" t="s">
        <v>2362</v>
      </c>
      <c r="J59" s="3170">
        <f ca="1">IF(OR(M47="住宅",J51&lt;L48,J56="是"),"——",ROUND(C29*J58,0))</f>
        <v>171</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2363</v>
      </c>
      <c r="J60" s="3172">
        <f ca="1">IF(OR(M47="住宅",J51&lt;L48,J56="是"),"0",ROUND(J59/(1+J52)^J53,0))</f>
        <v>16</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0</v>
      </c>
      <c r="D61" s="814" t="s">
        <v>668</v>
      </c>
      <c r="E61" s="784" t="s">
        <v>669</v>
      </c>
      <c r="F61" s="640">
        <f t="shared" si="0"/>
        <v>0</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661.65</v>
      </c>
      <c r="I62" s="3174" t="s">
        <v>2369</v>
      </c>
      <c r="J62" s="3175" t="s">
        <v>2370</v>
      </c>
      <c r="K62" s="3175" t="s">
        <v>2371</v>
      </c>
      <c r="L62" s="3175" t="s">
        <v>2352</v>
      </c>
      <c r="M62" s="3176" t="s">
        <v>2948</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5.2</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557</v>
      </c>
      <c r="R63" s="2403" t="s">
        <v>2394</v>
      </c>
    </row>
    <row r="64" spans="1:18" s="2059" customFormat="1" ht="16.5" thickBot="1">
      <c r="A64" s="1648" t="s">
        <v>1890</v>
      </c>
      <c r="B64" s="784" t="s">
        <v>678</v>
      </c>
      <c r="C64" s="53">
        <f ca="1">ROUND(C55*F64,1)</f>
        <v>0.5</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f ca="1">C47-C57</f>
        <v>-6</v>
      </c>
      <c r="D66" s="2638" t="s">
        <v>699</v>
      </c>
      <c r="E66" s="2637"/>
      <c r="F66" s="820"/>
      <c r="K66" s="2086"/>
      <c r="O66" s="2398" t="s">
        <v>2381</v>
      </c>
      <c r="P66" s="2399" t="s">
        <v>2411</v>
      </c>
      <c r="Q66" s="2400">
        <f ca="1">C40+J29</f>
        <v>557</v>
      </c>
      <c r="R66" s="2399" t="s">
        <v>2382</v>
      </c>
    </row>
    <row r="67" spans="1:18" s="2059" customFormat="1" ht="20.25" thickBot="1">
      <c r="A67" s="781" t="s">
        <v>1780</v>
      </c>
      <c r="B67" s="2232" t="s">
        <v>2303</v>
      </c>
      <c r="C67" s="783">
        <f ca="1">ROUND(C66*(1-((1+F69)/(1+F67))^F68)/(F67-F69),0)</f>
        <v>-84</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27.3</v>
      </c>
      <c r="O68" s="2401" t="s">
        <v>2385</v>
      </c>
      <c r="P68" s="2399" t="s">
        <v>2415</v>
      </c>
      <c r="Q68" s="2405">
        <f ca="1">L51</f>
        <v>-5</v>
      </c>
      <c r="R68" s="2406" t="s">
        <v>2418</v>
      </c>
    </row>
    <row r="69" spans="1:18" ht="20.25" thickBot="1">
      <c r="A69" s="790"/>
      <c r="B69" s="791"/>
      <c r="C69" s="792"/>
      <c r="D69" s="816"/>
      <c r="E69" s="784" t="s">
        <v>709</v>
      </c>
      <c r="F69" s="2371"/>
      <c r="O69" s="2401" t="s">
        <v>2386</v>
      </c>
      <c r="P69" s="2407" t="s">
        <v>2400</v>
      </c>
      <c r="Q69" s="2400">
        <f ca="1">ROUND(Q70-Q71*Q72,0)</f>
        <v>0</v>
      </c>
      <c r="R69" s="2403"/>
    </row>
    <row r="70" spans="1:18" ht="15.75" thickBot="1">
      <c r="A70" s="823" t="s">
        <v>1787</v>
      </c>
      <c r="B70" s="824" t="s">
        <v>1810</v>
      </c>
      <c r="C70" s="825">
        <f ca="1">ROUND(C67*10000/F70,0)</f>
        <v>-1058</v>
      </c>
      <c r="D70" s="826" t="s">
        <v>1811</v>
      </c>
      <c r="E70" s="827" t="s">
        <v>1812</v>
      </c>
      <c r="F70" s="828">
        <f ca="1">F43</f>
        <v>794</v>
      </c>
      <c r="O70" s="2401" t="s">
        <v>2401</v>
      </c>
      <c r="P70" s="2407" t="s">
        <v>2402</v>
      </c>
      <c r="Q70" s="2400">
        <f ca="1">C39</f>
        <v>29</v>
      </c>
      <c r="R70" s="2399" t="s">
        <v>2382</v>
      </c>
    </row>
    <row r="71" spans="1:18" ht="15.75" thickBot="1">
      <c r="O71" s="2401" t="s">
        <v>2403</v>
      </c>
      <c r="P71" s="2407" t="s">
        <v>2404</v>
      </c>
      <c r="Q71" s="2400">
        <f ca="1">C13</f>
        <v>345</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557</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2473</v>
      </c>
      <c r="B1" s="3462"/>
      <c r="C1" s="3463"/>
      <c r="D1" s="3464">
        <f>SUM(I10,I15,I20,I21,I23)</f>
        <v>0</v>
      </c>
      <c r="E1" s="3464"/>
      <c r="F1" s="3464"/>
      <c r="G1" s="3464"/>
      <c r="H1" s="3464"/>
      <c r="I1" s="3465"/>
    </row>
    <row r="2" spans="1:9">
      <c r="A2" s="3466" t="s">
        <v>2474</v>
      </c>
      <c r="B2" s="3467" t="s">
        <v>2475</v>
      </c>
      <c r="C2" s="3467"/>
      <c r="D2" s="2507" t="s">
        <v>2476</v>
      </c>
      <c r="E2" s="2507" t="s">
        <v>2477</v>
      </c>
      <c r="F2" s="2507" t="s">
        <v>2478</v>
      </c>
      <c r="G2" s="2507" t="s">
        <v>2479</v>
      </c>
      <c r="H2" s="2507" t="s">
        <v>2480</v>
      </c>
      <c r="I2" s="2508" t="s">
        <v>2481</v>
      </c>
    </row>
    <row r="3" spans="1:9">
      <c r="A3" s="3466"/>
      <c r="B3" s="3467" t="s">
        <v>2482</v>
      </c>
      <c r="C3" s="3467"/>
      <c r="D3" s="2509"/>
      <c r="E3" s="2507"/>
      <c r="F3" s="2510"/>
      <c r="G3" s="2510"/>
      <c r="H3" s="2511"/>
      <c r="I3" s="2512">
        <f>ROUND(D3*E3*F3*G3*H3/10000,0)</f>
        <v>0</v>
      </c>
    </row>
    <row r="4" spans="1:9">
      <c r="A4" s="3466"/>
      <c r="B4" s="3467" t="s">
        <v>2483</v>
      </c>
      <c r="C4" s="3467"/>
      <c r="D4" s="2509"/>
      <c r="E4" s="2507"/>
      <c r="F4" s="2510"/>
      <c r="G4" s="2510"/>
      <c r="H4" s="2511"/>
      <c r="I4" s="2512">
        <f t="shared" ref="I4:I9" si="0">ROUND(D4*E4*F4*G4*H4/10000,0)</f>
        <v>0</v>
      </c>
    </row>
    <row r="5" spans="1:9">
      <c r="A5" s="3466"/>
      <c r="B5" s="3467" t="s">
        <v>2484</v>
      </c>
      <c r="C5" s="3467"/>
      <c r="D5" s="2509"/>
      <c r="E5" s="2507"/>
      <c r="F5" s="2510"/>
      <c r="G5" s="2510"/>
      <c r="H5" s="2511"/>
      <c r="I5" s="2512">
        <f t="shared" si="0"/>
        <v>0</v>
      </c>
    </row>
    <row r="6" spans="1:9">
      <c r="A6" s="3466"/>
      <c r="B6" s="3467" t="s">
        <v>2485</v>
      </c>
      <c r="C6" s="3467"/>
      <c r="D6" s="2509"/>
      <c r="E6" s="2507"/>
      <c r="F6" s="2510"/>
      <c r="G6" s="2510"/>
      <c r="H6" s="2511"/>
      <c r="I6" s="2512">
        <f t="shared" si="0"/>
        <v>0</v>
      </c>
    </row>
    <row r="7" spans="1:9">
      <c r="A7" s="3466"/>
      <c r="B7" s="3467" t="s">
        <v>2486</v>
      </c>
      <c r="C7" s="3467"/>
      <c r="D7" s="2509"/>
      <c r="E7" s="2507"/>
      <c r="F7" s="2510"/>
      <c r="G7" s="2510"/>
      <c r="H7" s="2511"/>
      <c r="I7" s="2512">
        <f t="shared" si="0"/>
        <v>0</v>
      </c>
    </row>
    <row r="8" spans="1:9">
      <c r="A8" s="3466"/>
      <c r="B8" s="3467" t="s">
        <v>2487</v>
      </c>
      <c r="C8" s="3467"/>
      <c r="D8" s="2509"/>
      <c r="E8" s="2507"/>
      <c r="F8" s="2510"/>
      <c r="G8" s="2510"/>
      <c r="H8" s="2511"/>
      <c r="I8" s="2512">
        <f t="shared" si="0"/>
        <v>0</v>
      </c>
    </row>
    <row r="9" spans="1:9">
      <c r="A9" s="3466"/>
      <c r="B9" s="3467" t="s">
        <v>2488</v>
      </c>
      <c r="C9" s="3467"/>
      <c r="D9" s="2509"/>
      <c r="E9" s="2507"/>
      <c r="F9" s="2510"/>
      <c r="G9" s="2510"/>
      <c r="H9" s="2511"/>
      <c r="I9" s="2512">
        <f t="shared" si="0"/>
        <v>0</v>
      </c>
    </row>
    <row r="10" spans="1:9">
      <c r="A10" s="3466"/>
      <c r="B10" s="3468" t="s">
        <v>2489</v>
      </c>
      <c r="C10" s="3468"/>
      <c r="D10" s="2513">
        <v>527</v>
      </c>
      <c r="E10" s="2513" t="e">
        <f>ROUND(D1*10000/D10/H9,0)</f>
        <v>#DIV/0!</v>
      </c>
      <c r="F10" s="2514"/>
      <c r="G10" s="2514"/>
      <c r="H10" s="2515"/>
      <c r="I10" s="2516">
        <f>SUM(I3:I9)</f>
        <v>0</v>
      </c>
    </row>
    <row r="11" spans="1:9" ht="14.25">
      <c r="A11" s="3466" t="s">
        <v>2490</v>
      </c>
      <c r="B11" s="3467" t="s">
        <v>2491</v>
      </c>
      <c r="C11" s="3467"/>
      <c r="D11" s="2509" t="s">
        <v>2492</v>
      </c>
      <c r="E11" s="2509" t="s">
        <v>2493</v>
      </c>
      <c r="F11" s="2510" t="s">
        <v>2494</v>
      </c>
      <c r="G11" s="2510" t="s">
        <v>2495</v>
      </c>
      <c r="H11" s="2517" t="s">
        <v>2496</v>
      </c>
      <c r="I11" s="2508" t="s">
        <v>2497</v>
      </c>
    </row>
    <row r="12" spans="1:9">
      <c r="A12" s="3466"/>
      <c r="B12" s="3467" t="s">
        <v>2498</v>
      </c>
      <c r="C12" s="3467"/>
      <c r="D12" s="2509"/>
      <c r="E12" s="2509"/>
      <c r="F12" s="2510"/>
      <c r="G12" s="2511"/>
      <c r="H12" s="2518"/>
      <c r="I12" s="2508">
        <f>ROUND(D12*E12*F12*G12/10000,0)</f>
        <v>0</v>
      </c>
    </row>
    <row r="13" spans="1:9">
      <c r="A13" s="3466"/>
      <c r="B13" s="3467" t="s">
        <v>2499</v>
      </c>
      <c r="C13" s="3467"/>
      <c r="D13" s="2509"/>
      <c r="E13" s="2509"/>
      <c r="F13" s="2510"/>
      <c r="G13" s="2511"/>
      <c r="H13" s="2518"/>
      <c r="I13" s="2508">
        <f>ROUND(D13*E13*F13*G13/10000,0)</f>
        <v>0</v>
      </c>
    </row>
    <row r="14" spans="1:9">
      <c r="A14" s="3466"/>
      <c r="B14" s="3467" t="s">
        <v>2500</v>
      </c>
      <c r="C14" s="3467"/>
      <c r="D14" s="2509"/>
      <c r="E14" s="2509"/>
      <c r="F14" s="2510"/>
      <c r="G14" s="2511"/>
      <c r="H14" s="2518"/>
      <c r="I14" s="2508">
        <f>ROUND(D14*E14*F14*G14/10000,0)</f>
        <v>0</v>
      </c>
    </row>
    <row r="15" spans="1:9">
      <c r="A15" s="3466"/>
      <c r="B15" s="3468" t="s">
        <v>2489</v>
      </c>
      <c r="C15" s="3468"/>
      <c r="D15" s="2513"/>
      <c r="E15" s="2513">
        <f>SUM(E12:E14)</f>
        <v>0</v>
      </c>
      <c r="F15" s="2514"/>
      <c r="G15" s="2511"/>
      <c r="H15" s="2518"/>
      <c r="I15" s="2519">
        <f>SUM(I12:I14)</f>
        <v>0</v>
      </c>
    </row>
    <row r="16" spans="1:9" ht="24">
      <c r="A16" s="3466" t="s">
        <v>2501</v>
      </c>
      <c r="B16" s="3467" t="s">
        <v>2502</v>
      </c>
      <c r="C16" s="3467"/>
      <c r="D16" s="2509" t="s">
        <v>2503</v>
      </c>
      <c r="E16" s="2520" t="s">
        <v>2504</v>
      </c>
      <c r="F16" s="2510" t="s">
        <v>2505</v>
      </c>
      <c r="G16" s="2511" t="s">
        <v>2495</v>
      </c>
      <c r="H16" s="2517" t="s">
        <v>2496</v>
      </c>
      <c r="I16" s="2508" t="s">
        <v>2497</v>
      </c>
    </row>
    <row r="17" spans="1:9" ht="14.25">
      <c r="A17" s="3466"/>
      <c r="B17" s="3467" t="s">
        <v>2506</v>
      </c>
      <c r="C17" s="3467"/>
      <c r="D17" s="2509"/>
      <c r="E17" s="2509"/>
      <c r="F17" s="2510"/>
      <c r="G17" s="2511"/>
      <c r="H17" s="2521"/>
      <c r="I17" s="2522">
        <f>ROUND(D17*E17*F17*G17/10000,0)</f>
        <v>0</v>
      </c>
    </row>
    <row r="18" spans="1:9" ht="14.25">
      <c r="A18" s="3466"/>
      <c r="B18" s="3467" t="s">
        <v>2507</v>
      </c>
      <c r="C18" s="3467"/>
      <c r="D18" s="2509"/>
      <c r="E18" s="2509"/>
      <c r="F18" s="2510"/>
      <c r="G18" s="2511"/>
      <c r="H18" s="2521"/>
      <c r="I18" s="2522">
        <f>ROUND(D18*E18*F18*G18/10000,0)</f>
        <v>0</v>
      </c>
    </row>
    <row r="19" spans="1:9" ht="14.25">
      <c r="A19" s="3466"/>
      <c r="B19" s="3467" t="s">
        <v>2508</v>
      </c>
      <c r="C19" s="3467"/>
      <c r="D19" s="2509"/>
      <c r="E19" s="2509"/>
      <c r="F19" s="2510"/>
      <c r="G19" s="2511"/>
      <c r="H19" s="2521"/>
      <c r="I19" s="2522">
        <f>ROUND(D19*E19*F19*G19/10000,0)</f>
        <v>0</v>
      </c>
    </row>
    <row r="20" spans="1:9">
      <c r="A20" s="3466"/>
      <c r="B20" s="3468" t="s">
        <v>2489</v>
      </c>
      <c r="C20" s="3468"/>
      <c r="D20" s="2513">
        <f>SUM(D17:D19)</f>
        <v>0</v>
      </c>
      <c r="E20" s="2513"/>
      <c r="F20" s="2514"/>
      <c r="G20" s="2511"/>
      <c r="H20" s="2518"/>
      <c r="I20" s="2519">
        <f>SUM(I17:I19)</f>
        <v>0</v>
      </c>
    </row>
    <row r="21" spans="1:9">
      <c r="A21" s="3466" t="s">
        <v>2509</v>
      </c>
      <c r="B21" s="3470"/>
      <c r="C21" s="3470"/>
      <c r="D21" s="3470"/>
      <c r="E21" s="3470"/>
      <c r="F21" s="3470"/>
      <c r="G21" s="3470"/>
      <c r="H21" s="2523">
        <v>0.1</v>
      </c>
      <c r="I21" s="2516">
        <f>ROUND(I10*H21,0)</f>
        <v>0</v>
      </c>
    </row>
    <row r="22" spans="1:9" ht="14.25">
      <c r="A22" s="3471" t="s">
        <v>2510</v>
      </c>
      <c r="B22" s="3472"/>
      <c r="C22" s="3473"/>
      <c r="D22" s="2524" t="s">
        <v>2511</v>
      </c>
      <c r="E22" s="2524" t="s">
        <v>2512</v>
      </c>
      <c r="F22" s="2525" t="s">
        <v>2513</v>
      </c>
      <c r="G22" s="2525" t="s">
        <v>2514</v>
      </c>
      <c r="H22" s="2517" t="s">
        <v>2515</v>
      </c>
      <c r="I22" s="2508" t="s">
        <v>2516</v>
      </c>
    </row>
    <row r="23" spans="1:9" ht="14.25" thickBot="1">
      <c r="A23" s="3474"/>
      <c r="B23" s="3475"/>
      <c r="C23" s="3476"/>
      <c r="D23" s="2526"/>
      <c r="E23" s="2526"/>
      <c r="F23" s="2526"/>
      <c r="G23" s="2527"/>
      <c r="H23" s="2528"/>
      <c r="I23" s="2529">
        <f>ROUND(E23*D23*F23*(1-G23)/10000,0)</f>
        <v>0</v>
      </c>
    </row>
    <row r="26" spans="1:9">
      <c r="A26" s="2530" t="s">
        <v>2517</v>
      </c>
      <c r="B26" s="2530"/>
      <c r="C26" s="2530"/>
      <c r="D26" s="2530"/>
      <c r="E26" s="3477">
        <f>C27-C30-C31-C32</f>
        <v>0</v>
      </c>
      <c r="F26" s="3477"/>
      <c r="G26" s="3477"/>
      <c r="H26" s="3044" t="s">
        <v>2845</v>
      </c>
    </row>
    <row r="27" spans="1:9">
      <c r="A27" s="2531">
        <v>1</v>
      </c>
      <c r="B27" s="2532" t="s">
        <v>2518</v>
      </c>
      <c r="C27" s="2532"/>
      <c r="D27" s="2532"/>
      <c r="E27" s="3478"/>
      <c r="F27" s="3478"/>
      <c r="G27" s="3478"/>
    </row>
    <row r="28" spans="1:9">
      <c r="A28" s="2533" t="s">
        <v>2519</v>
      </c>
      <c r="B28" s="2532" t="s">
        <v>2520</v>
      </c>
      <c r="C28" s="2532"/>
      <c r="D28" s="2532"/>
      <c r="E28" s="3478"/>
      <c r="F28" s="3478"/>
      <c r="G28" s="3478"/>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69"/>
      <c r="F32" s="3469"/>
      <c r="G32" s="3469"/>
    </row>
    <row r="33" spans="1:7" hidden="1">
      <c r="A33" s="3479" t="s">
        <v>2528</v>
      </c>
      <c r="B33" s="3480"/>
      <c r="C33" s="3480"/>
      <c r="D33" s="3481"/>
      <c r="E33" s="3477"/>
      <c r="F33" s="3477"/>
      <c r="G33" s="3477"/>
    </row>
    <row r="34" spans="1:7" hidden="1">
      <c r="A34" s="2535">
        <v>1</v>
      </c>
      <c r="B34" s="2532" t="s">
        <v>2529</v>
      </c>
      <c r="C34" s="2532"/>
      <c r="D34" s="2532"/>
      <c r="E34" s="3478"/>
      <c r="F34" s="3478"/>
      <c r="G34" s="3478"/>
    </row>
    <row r="35" spans="1:7" hidden="1">
      <c r="A35" s="2535">
        <v>2</v>
      </c>
      <c r="B35" s="2532" t="s">
        <v>2530</v>
      </c>
      <c r="C35" s="2532"/>
      <c r="D35" s="2532"/>
      <c r="E35" s="3478"/>
      <c r="F35" s="3478"/>
      <c r="G35" s="3478"/>
    </row>
    <row r="36" spans="1:7" hidden="1">
      <c r="A36" s="2535">
        <v>3</v>
      </c>
      <c r="B36" s="2532" t="s">
        <v>2531</v>
      </c>
      <c r="C36" s="2532"/>
      <c r="D36" s="2532"/>
      <c r="E36" s="3478"/>
      <c r="F36" s="3478"/>
      <c r="G36" s="3478"/>
    </row>
    <row r="37" spans="1:7" hidden="1">
      <c r="A37" s="2535">
        <v>4</v>
      </c>
      <c r="B37" s="2532" t="s">
        <v>2532</v>
      </c>
      <c r="C37" s="2532"/>
      <c r="D37" s="2532"/>
      <c r="E37" s="3478"/>
      <c r="F37" s="3478"/>
      <c r="G37" s="3478"/>
    </row>
    <row r="38" spans="1:7" hidden="1">
      <c r="A38" s="3479" t="s">
        <v>2533</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7937</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75</v>
      </c>
      <c r="D12" s="758">
        <f>'数据-汇总表'!E5</f>
        <v>7143</v>
      </c>
      <c r="E12" s="757">
        <f>'数据-取费表'!B27</f>
        <v>105</v>
      </c>
      <c r="F12" s="755"/>
      <c r="G12" s="759"/>
    </row>
    <row r="13" spans="1:25" s="2183" customFormat="1" ht="13.5" customHeight="1">
      <c r="A13" s="2476" t="s">
        <v>2449</v>
      </c>
      <c r="B13" s="756" t="s">
        <v>611</v>
      </c>
      <c r="C13" s="757">
        <f>ROUND(D13*E13/10000,0)</f>
        <v>8</v>
      </c>
      <c r="D13" s="758">
        <f>'数据-汇总表'!E6</f>
        <v>794</v>
      </c>
      <c r="E13" s="757">
        <f>'数据-取费表'!B28</f>
        <v>105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0.24</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0.91400000000000003</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D4" zoomScaleNormal="100" workbookViewId="0">
      <selection activeCell="G15" sqref="G15"/>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3164</v>
      </c>
      <c r="E1" s="262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9782</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13694.1</v>
      </c>
      <c r="C3" s="852" t="s">
        <v>721</v>
      </c>
      <c r="D3" s="851">
        <f>SUMIF('数据-汇总表'!$C19:$C33,D1,'数据-汇总表'!$E19:$E33)</f>
        <v>7143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375" t="s">
        <v>521</v>
      </c>
      <c r="D4" s="3376"/>
      <c r="E4" s="3410" t="s">
        <v>522</v>
      </c>
      <c r="F4" s="3411"/>
      <c r="G4" s="3375" t="s">
        <v>523</v>
      </c>
      <c r="H4" s="3376"/>
      <c r="I4" s="3375" t="s">
        <v>524</v>
      </c>
      <c r="J4" s="3376"/>
      <c r="K4" s="853" t="s">
        <v>525</v>
      </c>
      <c r="L4" s="2133"/>
      <c r="M4" s="2134"/>
      <c r="N4" s="2134"/>
      <c r="O4" s="2134"/>
      <c r="P4" s="3377" t="s">
        <v>526</v>
      </c>
      <c r="Q4" s="3378"/>
      <c r="R4" s="3383" t="s">
        <v>522</v>
      </c>
      <c r="S4" s="3384"/>
      <c r="T4" s="3383" t="s">
        <v>523</v>
      </c>
      <c r="U4" s="3384"/>
      <c r="V4" s="3370" t="s">
        <v>524</v>
      </c>
      <c r="W4" s="3370"/>
      <c r="X4" s="1566"/>
      <c r="Y4" s="3383" t="s">
        <v>526</v>
      </c>
      <c r="Z4" s="3384"/>
      <c r="AA4" s="3372" t="s">
        <v>522</v>
      </c>
      <c r="AB4" s="3372" t="s">
        <v>523</v>
      </c>
      <c r="AC4" s="3372" t="s">
        <v>524</v>
      </c>
    </row>
    <row r="5" spans="1:29" ht="15">
      <c r="A5" s="515"/>
      <c r="B5" s="516"/>
      <c r="C5" s="3391" t="s">
        <v>3001</v>
      </c>
      <c r="D5" s="3392"/>
      <c r="E5" s="3485" t="s">
        <v>3177</v>
      </c>
      <c r="F5" s="3413"/>
      <c r="G5" s="3391" t="s">
        <v>3178</v>
      </c>
      <c r="H5" s="3392"/>
      <c r="I5" s="3391" t="s">
        <v>3179</v>
      </c>
      <c r="J5" s="3392"/>
      <c r="K5" s="854"/>
      <c r="L5" s="2133"/>
      <c r="M5" s="2134"/>
      <c r="N5" s="2134"/>
      <c r="O5" s="2134"/>
      <c r="P5" s="3379"/>
      <c r="Q5" s="3380"/>
      <c r="R5" s="3385"/>
      <c r="S5" s="3386"/>
      <c r="T5" s="3385"/>
      <c r="U5" s="3386"/>
      <c r="V5" s="3370"/>
      <c r="W5" s="3370"/>
      <c r="X5" s="1566"/>
      <c r="Y5" s="3385"/>
      <c r="Z5" s="3386"/>
      <c r="AA5" s="3373"/>
      <c r="AB5" s="3373"/>
      <c r="AC5" s="3373"/>
    </row>
    <row r="6" spans="1:29" ht="15.75" thickBot="1">
      <c r="A6" s="517"/>
      <c r="B6" s="518"/>
      <c r="C6" s="3389" t="s">
        <v>2937</v>
      </c>
      <c r="D6" s="3390"/>
      <c r="E6" s="3408" t="s">
        <v>2937</v>
      </c>
      <c r="F6" s="3409"/>
      <c r="G6" s="3389" t="s">
        <v>2937</v>
      </c>
      <c r="H6" s="3390"/>
      <c r="I6" s="3389" t="s">
        <v>2937</v>
      </c>
      <c r="J6" s="3390"/>
      <c r="K6" s="854" t="s">
        <v>527</v>
      </c>
      <c r="L6" s="2133"/>
      <c r="M6" s="2134"/>
      <c r="N6" s="2134"/>
      <c r="O6" s="2134"/>
      <c r="P6" s="3381"/>
      <c r="Q6" s="3382"/>
      <c r="R6" s="3385"/>
      <c r="S6" s="3386"/>
      <c r="T6" s="3387"/>
      <c r="U6" s="3388"/>
      <c r="V6" s="3370"/>
      <c r="W6" s="3370"/>
      <c r="X6" s="1566"/>
      <c r="Y6" s="3387"/>
      <c r="Z6" s="3388"/>
      <c r="AA6" s="3374"/>
      <c r="AB6" s="3374"/>
      <c r="AC6" s="3374"/>
    </row>
    <row r="7" spans="1:29" s="1219" customFormat="1" ht="15.75" thickBot="1">
      <c r="A7" s="2912"/>
      <c r="B7" s="2919" t="s">
        <v>528</v>
      </c>
      <c r="C7" s="519">
        <f>'数据-取费表'!B2</f>
        <v>43334</v>
      </c>
      <c r="D7" s="520">
        <v>100</v>
      </c>
      <c r="E7" s="521">
        <f>C7</f>
        <v>43334</v>
      </c>
      <c r="F7" s="522">
        <f>SUMIF(58:58,YEAR(E7)&amp;"-"&amp;MONTH(E7),59:59)</f>
        <v>100</v>
      </c>
      <c r="G7" s="523">
        <f>C7</f>
        <v>43334</v>
      </c>
      <c r="H7" s="520">
        <f>SUMIF(58:58,YEAR(G7)&amp;"-"&amp;MONTH(G7),59:59)</f>
        <v>100</v>
      </c>
      <c r="I7" s="523">
        <f>C7</f>
        <v>43334</v>
      </c>
      <c r="J7" s="520">
        <f>SUMIF(58:58,YEAR(I7)&amp;"-"&amp;MONTH(I7),59:59)</f>
        <v>100</v>
      </c>
      <c r="K7" s="855"/>
      <c r="L7" s="2135"/>
      <c r="M7" s="2136"/>
      <c r="N7" s="2136"/>
      <c r="O7" s="2136"/>
      <c r="P7" s="3400" t="s">
        <v>529</v>
      </c>
      <c r="Q7" s="3402"/>
      <c r="R7" s="1567" t="s">
        <v>13</v>
      </c>
      <c r="S7" s="1568">
        <f t="shared" ref="S7:S15" si="0">F7</f>
        <v>100</v>
      </c>
      <c r="T7" s="1567" t="s">
        <v>13</v>
      </c>
      <c r="U7" s="1568">
        <f t="shared" ref="U7:U15" si="1">H7</f>
        <v>100</v>
      </c>
      <c r="V7" s="1567" t="s">
        <v>13</v>
      </c>
      <c r="W7" s="1568">
        <f t="shared" ref="W7:W15" si="2">J7</f>
        <v>100</v>
      </c>
      <c r="X7" s="1569"/>
      <c r="Y7" s="3400" t="s">
        <v>529</v>
      </c>
      <c r="Z7" s="3401"/>
      <c r="AA7" s="1570">
        <f>D7/F7</f>
        <v>1</v>
      </c>
      <c r="AB7" s="1570">
        <f>D7/H7</f>
        <v>1</v>
      </c>
      <c r="AC7" s="1570">
        <f>D7/J7</f>
        <v>1</v>
      </c>
    </row>
    <row r="8" spans="1:29" s="1219" customFormat="1" ht="15.75" thickBot="1">
      <c r="A8" s="2913"/>
      <c r="B8" s="2920" t="s">
        <v>530</v>
      </c>
      <c r="C8" s="525" t="s">
        <v>575</v>
      </c>
      <c r="D8" s="520">
        <v>100</v>
      </c>
      <c r="E8" s="856" t="s">
        <v>2999</v>
      </c>
      <c r="F8" s="522">
        <f>SUMIF(61:61,E8,62:62)-SUMIF(61:61,C8,62:62)+100</f>
        <v>100</v>
      </c>
      <c r="G8" s="525" t="s">
        <v>2999</v>
      </c>
      <c r="H8" s="520">
        <f>SUMIF(61:61,G8,62:62)-SUMIF(61:61,C8,62:62)+100</f>
        <v>100</v>
      </c>
      <c r="I8" s="856" t="s">
        <v>2999</v>
      </c>
      <c r="J8" s="520">
        <f>SUMIF(61:61,I8,62:62)-SUMIF(61:61,C8,62:62)+100</f>
        <v>100</v>
      </c>
      <c r="K8" s="855"/>
      <c r="L8" s="2135"/>
      <c r="M8" s="2136"/>
      <c r="N8" s="2136"/>
      <c r="O8" s="2136"/>
      <c r="P8" s="3400" t="s">
        <v>532</v>
      </c>
      <c r="Q8" s="3401"/>
      <c r="R8" s="1567" t="s">
        <v>13</v>
      </c>
      <c r="S8" s="1568">
        <f t="shared" si="0"/>
        <v>100</v>
      </c>
      <c r="T8" s="1567" t="s">
        <v>13</v>
      </c>
      <c r="U8" s="1568">
        <f t="shared" si="1"/>
        <v>100</v>
      </c>
      <c r="V8" s="1567" t="s">
        <v>13</v>
      </c>
      <c r="W8" s="1568">
        <f t="shared" si="2"/>
        <v>100</v>
      </c>
      <c r="X8" s="1569"/>
      <c r="Y8" s="3400" t="s">
        <v>532</v>
      </c>
      <c r="Z8" s="3401"/>
      <c r="AA8" s="1570">
        <f t="shared" ref="AA8:AA46" si="3">D8/F8</f>
        <v>1</v>
      </c>
      <c r="AB8" s="1570">
        <f t="shared" ref="AB8:AB46" si="4">D8/H8</f>
        <v>1</v>
      </c>
      <c r="AC8" s="1570">
        <f t="shared" ref="AC8:AC46" si="5">D8/J8</f>
        <v>1</v>
      </c>
    </row>
    <row r="9" spans="1:29" s="1219" customFormat="1" ht="15">
      <c r="A9" s="2914"/>
      <c r="B9" s="2921" t="s">
        <v>2758</v>
      </c>
      <c r="C9" s="3187" t="s">
        <v>3137</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69" t="s">
        <v>534</v>
      </c>
      <c r="Q9" s="1150" t="str">
        <f t="shared" ref="Q9:Q15" si="6">B9</f>
        <v>用途</v>
      </c>
      <c r="R9" s="1567" t="s">
        <v>8</v>
      </c>
      <c r="S9" s="1568">
        <f t="shared" si="0"/>
        <v>100</v>
      </c>
      <c r="T9" s="1567" t="s">
        <v>8</v>
      </c>
      <c r="U9" s="1568">
        <f t="shared" si="1"/>
        <v>100</v>
      </c>
      <c r="V9" s="1567" t="s">
        <v>8</v>
      </c>
      <c r="W9" s="1568">
        <f t="shared" si="2"/>
        <v>100</v>
      </c>
      <c r="X9" s="1569"/>
      <c r="Y9" s="3315"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9"/>
      <c r="Q10" s="1150" t="str">
        <f t="shared" si="6"/>
        <v>土地使用年限（年）</v>
      </c>
      <c r="R10" s="1567" t="s">
        <v>8</v>
      </c>
      <c r="S10" s="1568">
        <f t="shared" si="0"/>
        <v>100</v>
      </c>
      <c r="T10" s="1567" t="s">
        <v>8</v>
      </c>
      <c r="U10" s="1568">
        <f t="shared" si="1"/>
        <v>100</v>
      </c>
      <c r="V10" s="1567" t="s">
        <v>8</v>
      </c>
      <c r="W10" s="1568">
        <f t="shared" si="2"/>
        <v>100</v>
      </c>
      <c r="X10" s="1569"/>
      <c r="Y10" s="3315"/>
      <c r="Z10" s="1149" t="str">
        <f t="shared" si="7"/>
        <v>土地使用年限（年）</v>
      </c>
      <c r="AA10" s="1570">
        <f t="shared" si="3"/>
        <v>1</v>
      </c>
      <c r="AB10" s="1570">
        <f t="shared" si="4"/>
        <v>1</v>
      </c>
      <c r="AC10" s="1570">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5</v>
      </c>
      <c r="L11" s="2140"/>
      <c r="M11" s="2134"/>
      <c r="N11" s="2134"/>
      <c r="O11" s="2141"/>
      <c r="P11" s="3369"/>
      <c r="Q11" s="1150" t="str">
        <f t="shared" si="6"/>
        <v>容积率</v>
      </c>
      <c r="R11" s="1567" t="s">
        <v>11</v>
      </c>
      <c r="S11" s="1568">
        <f t="shared" si="0"/>
        <v>100</v>
      </c>
      <c r="T11" s="1567" t="s">
        <v>11</v>
      </c>
      <c r="U11" s="1568">
        <f t="shared" si="1"/>
        <v>100</v>
      </c>
      <c r="V11" s="1567" t="s">
        <v>11</v>
      </c>
      <c r="W11" s="1568">
        <f t="shared" si="2"/>
        <v>100</v>
      </c>
      <c r="X11" s="1569"/>
      <c r="Y11" s="3315"/>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9"/>
      <c r="Q12" s="1150">
        <f t="shared" si="6"/>
        <v>111</v>
      </c>
      <c r="R12" s="1567" t="s">
        <v>11</v>
      </c>
      <c r="S12" s="1568">
        <f t="shared" si="0"/>
        <v>100</v>
      </c>
      <c r="T12" s="1567" t="s">
        <v>11</v>
      </c>
      <c r="U12" s="1568">
        <f t="shared" si="1"/>
        <v>100</v>
      </c>
      <c r="V12" s="1567" t="s">
        <v>11</v>
      </c>
      <c r="W12" s="1568">
        <f t="shared" si="2"/>
        <v>100</v>
      </c>
      <c r="X12" s="1569"/>
      <c r="Y12" s="3315"/>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9"/>
      <c r="Q13" s="1150">
        <f t="shared" si="6"/>
        <v>111</v>
      </c>
      <c r="R13" s="1567" t="s">
        <v>11</v>
      </c>
      <c r="S13" s="1568">
        <f t="shared" si="0"/>
        <v>100</v>
      </c>
      <c r="T13" s="1567" t="s">
        <v>11</v>
      </c>
      <c r="U13" s="1568">
        <f t="shared" si="1"/>
        <v>100</v>
      </c>
      <c r="V13" s="1567" t="s">
        <v>11</v>
      </c>
      <c r="W13" s="1568">
        <f t="shared" si="2"/>
        <v>100</v>
      </c>
      <c r="X13" s="1569"/>
      <c r="Y13" s="3315"/>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9"/>
      <c r="Q14" s="1150">
        <f t="shared" si="6"/>
        <v>111</v>
      </c>
      <c r="R14" s="1567" t="s">
        <v>11</v>
      </c>
      <c r="S14" s="1568">
        <f t="shared" si="0"/>
        <v>100</v>
      </c>
      <c r="T14" s="1567" t="s">
        <v>11</v>
      </c>
      <c r="U14" s="1568">
        <f t="shared" si="1"/>
        <v>100</v>
      </c>
      <c r="V14" s="1567" t="s">
        <v>11</v>
      </c>
      <c r="W14" s="1568">
        <f t="shared" si="2"/>
        <v>100</v>
      </c>
      <c r="X14" s="1569"/>
      <c r="Y14" s="3315"/>
      <c r="Z14" s="1149">
        <f t="shared" si="7"/>
        <v>111</v>
      </c>
      <c r="AA14" s="1570">
        <f t="shared" si="3"/>
        <v>1</v>
      </c>
      <c r="AB14" s="1570">
        <f t="shared" si="4"/>
        <v>1</v>
      </c>
      <c r="AC14" s="1570">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105</v>
      </c>
      <c r="I15" s="550"/>
      <c r="J15" s="549">
        <f>SUMIF(76:76,I16,77:77)-SUMIF(76:76,C16,77:77)+100</f>
        <v>100</v>
      </c>
      <c r="K15" s="868">
        <v>5</v>
      </c>
      <c r="L15" s="2142"/>
      <c r="M15" s="2134"/>
      <c r="N15" s="2134"/>
      <c r="O15" s="2141"/>
      <c r="P15" s="3403" t="s">
        <v>539</v>
      </c>
      <c r="Q15" s="1571" t="str">
        <f t="shared" si="6"/>
        <v>居住社区成熟度</v>
      </c>
      <c r="R15" s="1572" t="s">
        <v>11</v>
      </c>
      <c r="S15" s="1573">
        <f t="shared" si="0"/>
        <v>100</v>
      </c>
      <c r="T15" s="1572" t="s">
        <v>11</v>
      </c>
      <c r="U15" s="1573">
        <f t="shared" si="1"/>
        <v>105</v>
      </c>
      <c r="V15" s="1572" t="s">
        <v>11</v>
      </c>
      <c r="W15" s="1573">
        <f t="shared" si="2"/>
        <v>100</v>
      </c>
      <c r="X15" s="1566"/>
      <c r="Y15" s="3403" t="s">
        <v>539</v>
      </c>
      <c r="Z15" s="1574" t="str">
        <f t="shared" si="7"/>
        <v>居住社区成熟度</v>
      </c>
      <c r="AA15" s="1575">
        <f t="shared" si="3"/>
        <v>1</v>
      </c>
      <c r="AB15" s="1575">
        <f t="shared" si="4"/>
        <v>0.95238095238095233</v>
      </c>
      <c r="AC15" s="1575">
        <f t="shared" si="5"/>
        <v>1</v>
      </c>
    </row>
    <row r="16" spans="1:29" ht="15">
      <c r="A16" s="532"/>
      <c r="B16" s="869"/>
      <c r="C16" s="576" t="s">
        <v>3002</v>
      </c>
      <c r="D16" s="555"/>
      <c r="E16" s="556" t="s">
        <v>3002</v>
      </c>
      <c r="F16" s="557"/>
      <c r="G16" s="558" t="s">
        <v>3004</v>
      </c>
      <c r="H16" s="559"/>
      <c r="I16" s="556" t="s">
        <v>3002</v>
      </c>
      <c r="J16" s="555"/>
      <c r="K16" s="870"/>
      <c r="L16" s="2142"/>
      <c r="M16" s="2134"/>
      <c r="N16" s="2134"/>
      <c r="O16" s="2141"/>
      <c r="P16" s="3404"/>
      <c r="Q16" s="1571"/>
      <c r="R16" s="1572"/>
      <c r="S16" s="1573"/>
      <c r="T16" s="1572"/>
      <c r="U16" s="1573"/>
      <c r="V16" s="1572"/>
      <c r="W16" s="1573"/>
      <c r="X16" s="1566"/>
      <c r="Y16" s="3404"/>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404"/>
      <c r="Q17" s="1571" t="str">
        <f>B17</f>
        <v>交通便捷度</v>
      </c>
      <c r="R17" s="1572" t="s">
        <v>11</v>
      </c>
      <c r="S17" s="1573">
        <f>F17</f>
        <v>103</v>
      </c>
      <c r="T17" s="1572" t="s">
        <v>11</v>
      </c>
      <c r="U17" s="1573">
        <f>H17</f>
        <v>103</v>
      </c>
      <c r="V17" s="1572" t="s">
        <v>11</v>
      </c>
      <c r="W17" s="1573">
        <f>J17</f>
        <v>100</v>
      </c>
      <c r="X17" s="1566"/>
      <c r="Y17" s="3404"/>
      <c r="Z17" s="1574" t="str">
        <f>Q17</f>
        <v>交通便捷度</v>
      </c>
      <c r="AA17" s="1575">
        <f t="shared" si="3"/>
        <v>0.970873786407767</v>
      </c>
      <c r="AB17" s="1575">
        <f t="shared" si="4"/>
        <v>0.970873786407767</v>
      </c>
      <c r="AC17" s="1575">
        <f t="shared" si="5"/>
        <v>1</v>
      </c>
    </row>
    <row r="18" spans="1:29" ht="15">
      <c r="A18" s="532"/>
      <c r="B18" s="595"/>
      <c r="C18" s="873" t="s">
        <v>3002</v>
      </c>
      <c r="D18" s="559"/>
      <c r="E18" s="568" t="s">
        <v>3004</v>
      </c>
      <c r="F18" s="563"/>
      <c r="G18" s="569" t="s">
        <v>3004</v>
      </c>
      <c r="H18" s="555"/>
      <c r="I18" s="568" t="s">
        <v>3002</v>
      </c>
      <c r="J18" s="555"/>
      <c r="K18" s="870"/>
      <c r="L18" s="2142"/>
      <c r="M18" s="2134"/>
      <c r="N18" s="2134"/>
      <c r="O18" s="2141"/>
      <c r="P18" s="3404"/>
      <c r="Q18" s="1571"/>
      <c r="R18" s="1572"/>
      <c r="S18" s="1573"/>
      <c r="T18" s="1572"/>
      <c r="U18" s="1573"/>
      <c r="V18" s="1572"/>
      <c r="W18" s="1573"/>
      <c r="X18" s="1566"/>
      <c r="Y18" s="3404"/>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100</v>
      </c>
      <c r="K19" s="868">
        <v>5</v>
      </c>
      <c r="L19" s="2142"/>
      <c r="M19" s="2134"/>
      <c r="N19" s="2134"/>
      <c r="O19" s="2141"/>
      <c r="P19" s="3404"/>
      <c r="Q19" s="1571" t="str">
        <f>B19</f>
        <v>公共配套设施</v>
      </c>
      <c r="R19" s="1572" t="s">
        <v>11</v>
      </c>
      <c r="S19" s="1573">
        <f>F19</f>
        <v>100</v>
      </c>
      <c r="T19" s="1572" t="s">
        <v>11</v>
      </c>
      <c r="U19" s="1573">
        <f>H19</f>
        <v>105</v>
      </c>
      <c r="V19" s="1572" t="s">
        <v>11</v>
      </c>
      <c r="W19" s="1573">
        <f>J19</f>
        <v>100</v>
      </c>
      <c r="X19" s="1566"/>
      <c r="Y19" s="3404"/>
      <c r="Z19" s="1574" t="str">
        <f>Q19</f>
        <v>公共配套设施</v>
      </c>
      <c r="AA19" s="1575">
        <f t="shared" si="3"/>
        <v>1</v>
      </c>
      <c r="AB19" s="1575">
        <f t="shared" si="4"/>
        <v>0.95238095238095233</v>
      </c>
      <c r="AC19" s="1575">
        <f t="shared" si="5"/>
        <v>1</v>
      </c>
    </row>
    <row r="20" spans="1:29" ht="15">
      <c r="A20" s="532"/>
      <c r="B20" s="595"/>
      <c r="C20" s="576" t="s">
        <v>3002</v>
      </c>
      <c r="D20" s="555"/>
      <c r="E20" s="556" t="s">
        <v>3002</v>
      </c>
      <c r="F20" s="557"/>
      <c r="G20" s="558" t="s">
        <v>3004</v>
      </c>
      <c r="H20" s="555"/>
      <c r="I20" s="556" t="s">
        <v>3002</v>
      </c>
      <c r="J20" s="555"/>
      <c r="K20" s="870"/>
      <c r="L20" s="2142"/>
      <c r="M20" s="2134"/>
      <c r="N20" s="2134"/>
      <c r="O20" s="2141"/>
      <c r="P20" s="3404"/>
      <c r="Q20" s="1571"/>
      <c r="R20" s="1572"/>
      <c r="S20" s="1573"/>
      <c r="T20" s="1572"/>
      <c r="U20" s="1573"/>
      <c r="V20" s="1572"/>
      <c r="W20" s="1573"/>
      <c r="X20" s="1566"/>
      <c r="Y20" s="3404"/>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04"/>
      <c r="Q21" s="2579" t="str">
        <f>B21</f>
        <v>基础设施水平</v>
      </c>
      <c r="R21" s="1572" t="s">
        <v>11</v>
      </c>
      <c r="S21" s="1573">
        <f>F21</f>
        <v>100</v>
      </c>
      <c r="T21" s="1572" t="s">
        <v>11</v>
      </c>
      <c r="U21" s="1573">
        <f>H21</f>
        <v>100</v>
      </c>
      <c r="V21" s="1572" t="s">
        <v>11</v>
      </c>
      <c r="W21" s="1573">
        <f>J21</f>
        <v>100</v>
      </c>
      <c r="X21" s="2581"/>
      <c r="Y21" s="3404"/>
      <c r="Z21" s="2580" t="str">
        <f>Q21</f>
        <v>基础设施水平</v>
      </c>
      <c r="AA21" s="1575">
        <f t="shared" ref="AA21" si="8">D21/F21</f>
        <v>1</v>
      </c>
      <c r="AB21" s="1575">
        <f t="shared" ref="AB21" si="9">D21/H21</f>
        <v>1</v>
      </c>
      <c r="AC21" s="1575">
        <f t="shared" ref="AC21" si="10">D21/J21</f>
        <v>1</v>
      </c>
    </row>
    <row r="22" spans="1:29" ht="15">
      <c r="A22" s="532"/>
      <c r="B22" s="922"/>
      <c r="C22" s="873" t="s">
        <v>3022</v>
      </c>
      <c r="D22" s="555"/>
      <c r="E22" s="576" t="s">
        <v>3022</v>
      </c>
      <c r="F22" s="557"/>
      <c r="G22" s="576" t="s">
        <v>3022</v>
      </c>
      <c r="H22" s="555"/>
      <c r="I22" s="576" t="s">
        <v>3022</v>
      </c>
      <c r="J22" s="555"/>
      <c r="K22" s="2599"/>
      <c r="L22" s="2142"/>
      <c r="M22" s="2134"/>
      <c r="N22" s="2134"/>
      <c r="O22" s="2141"/>
      <c r="P22" s="3404"/>
      <c r="Q22" s="2579"/>
      <c r="R22" s="1572"/>
      <c r="S22" s="1573"/>
      <c r="T22" s="1572"/>
      <c r="U22" s="1573"/>
      <c r="V22" s="1572"/>
      <c r="W22" s="1573"/>
      <c r="X22" s="2581"/>
      <c r="Y22" s="3404"/>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404"/>
      <c r="Q23" s="1571" t="str">
        <f>B23</f>
        <v>自然及人文环境</v>
      </c>
      <c r="R23" s="1572" t="s">
        <v>11</v>
      </c>
      <c r="S23" s="1573">
        <f>F23</f>
        <v>100</v>
      </c>
      <c r="T23" s="1572" t="s">
        <v>11</v>
      </c>
      <c r="U23" s="1573">
        <f>H23</f>
        <v>90</v>
      </c>
      <c r="V23" s="1572" t="s">
        <v>11</v>
      </c>
      <c r="W23" s="1573">
        <f>J23</f>
        <v>90</v>
      </c>
      <c r="X23" s="1566"/>
      <c r="Y23" s="3404"/>
      <c r="Z23" s="1574" t="str">
        <f>Q23</f>
        <v>自然及人文环境</v>
      </c>
      <c r="AA23" s="1575">
        <f t="shared" si="3"/>
        <v>1</v>
      </c>
      <c r="AB23" s="1575">
        <f t="shared" si="4"/>
        <v>1.1111111111111112</v>
      </c>
      <c r="AC23" s="1575">
        <f t="shared" si="5"/>
        <v>1.1111111111111112</v>
      </c>
    </row>
    <row r="24" spans="1:29" ht="15">
      <c r="A24" s="532"/>
      <c r="B24" s="595"/>
      <c r="C24" s="576" t="s">
        <v>3003</v>
      </c>
      <c r="D24" s="555"/>
      <c r="E24" s="556" t="s">
        <v>3003</v>
      </c>
      <c r="F24" s="557"/>
      <c r="G24" s="558" t="s">
        <v>3004</v>
      </c>
      <c r="H24" s="555"/>
      <c r="I24" s="556" t="s">
        <v>3004</v>
      </c>
      <c r="J24" s="555"/>
      <c r="K24" s="870"/>
      <c r="L24" s="2142"/>
      <c r="M24" s="2134"/>
      <c r="N24" s="2134"/>
      <c r="O24" s="2141"/>
      <c r="P24" s="3404"/>
      <c r="Q24" s="1571"/>
      <c r="R24" s="1572"/>
      <c r="S24" s="1573"/>
      <c r="T24" s="1572"/>
      <c r="U24" s="1573"/>
      <c r="V24" s="1572"/>
      <c r="W24" s="1573"/>
      <c r="X24" s="1566"/>
      <c r="Y24" s="3404"/>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4"/>
      <c r="Q25" s="1571" t="str">
        <f t="shared" ref="Q25:Q46" si="11">B25</f>
        <v>楼层-1</v>
      </c>
      <c r="R25" s="1572" t="s">
        <v>11</v>
      </c>
      <c r="S25" s="1573">
        <f>F25</f>
        <v>100</v>
      </c>
      <c r="T25" s="1572" t="s">
        <v>11</v>
      </c>
      <c r="U25" s="1573">
        <f>H25</f>
        <v>100</v>
      </c>
      <c r="V25" s="1572" t="s">
        <v>11</v>
      </c>
      <c r="W25" s="1573">
        <f>J25</f>
        <v>100</v>
      </c>
      <c r="X25" s="1566"/>
      <c r="Y25" s="3404"/>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4"/>
      <c r="Q26" s="1571" t="str">
        <f t="shared" si="11"/>
        <v>朝向</v>
      </c>
      <c r="R26" s="1572" t="s">
        <v>11</v>
      </c>
      <c r="S26" s="1573">
        <f>F26</f>
        <v>100</v>
      </c>
      <c r="T26" s="1572" t="s">
        <v>11</v>
      </c>
      <c r="U26" s="1573">
        <f>H26</f>
        <v>100</v>
      </c>
      <c r="V26" s="1572" t="s">
        <v>11</v>
      </c>
      <c r="W26" s="1573">
        <f>J26</f>
        <v>100</v>
      </c>
      <c r="X26" s="1566"/>
      <c r="Y26" s="3404"/>
      <c r="Z26" s="1574" t="str">
        <f>Q26</f>
        <v>朝向</v>
      </c>
      <c r="AA26" s="1575">
        <f t="shared" si="3"/>
        <v>1</v>
      </c>
      <c r="AB26" s="1575">
        <f t="shared" si="4"/>
        <v>1</v>
      </c>
      <c r="AC26" s="1575">
        <f t="shared" si="5"/>
        <v>1</v>
      </c>
    </row>
    <row r="27" spans="1:29" s="1219" customFormat="1" ht="15">
      <c r="A27" s="536"/>
      <c r="B27" s="537" t="s">
        <v>723</v>
      </c>
      <c r="C27" s="3189" t="s">
        <v>3027</v>
      </c>
      <c r="D27" s="875">
        <v>100</v>
      </c>
      <c r="E27" s="3188" t="s">
        <v>3181</v>
      </c>
      <c r="F27" s="876">
        <f>SUMIF(90:90,E27,91:91)-SUMIF(90:90,C27,91:91)+100</f>
        <v>101</v>
      </c>
      <c r="G27" s="3190" t="s">
        <v>3182</v>
      </c>
      <c r="H27" s="875">
        <f>SUMIF(90:90,G27,91:91)-SUMIF(90:90,C27,91:91)+100</f>
        <v>101</v>
      </c>
      <c r="I27" s="3188" t="s">
        <v>3023</v>
      </c>
      <c r="J27" s="875">
        <f>SUMIF(90:90,I27,91:91)-SUMIF(90:90,C27,91:91)+100</f>
        <v>104</v>
      </c>
      <c r="K27" s="865"/>
      <c r="L27" s="2135"/>
      <c r="M27" s="2136"/>
      <c r="N27" s="2136"/>
      <c r="O27" s="2137"/>
      <c r="P27" s="3404"/>
      <c r="Q27" s="1150" t="str">
        <f t="shared" si="11"/>
        <v>道路级别</v>
      </c>
      <c r="R27" s="1567" t="s">
        <v>11</v>
      </c>
      <c r="S27" s="1568">
        <f>F27</f>
        <v>101</v>
      </c>
      <c r="T27" s="1567" t="s">
        <v>11</v>
      </c>
      <c r="U27" s="1568">
        <f>H27</f>
        <v>101</v>
      </c>
      <c r="V27" s="1567" t="s">
        <v>11</v>
      </c>
      <c r="W27" s="1568">
        <f>J27</f>
        <v>104</v>
      </c>
      <c r="X27" s="1569"/>
      <c r="Y27" s="3404"/>
      <c r="Z27" s="1149" t="str">
        <f>Q27</f>
        <v>道路级别</v>
      </c>
      <c r="AA27" s="1575">
        <f>D27/F27</f>
        <v>0.99009900990099009</v>
      </c>
      <c r="AB27" s="1575">
        <f>D27/H27</f>
        <v>0.99009900990099009</v>
      </c>
      <c r="AC27" s="1575">
        <f>D27/J27</f>
        <v>0.96153846153846156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4"/>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4"/>
      <c r="Q29" s="1571">
        <f t="shared" si="11"/>
        <v>111</v>
      </c>
      <c r="R29" s="1572" t="s">
        <v>11</v>
      </c>
      <c r="S29" s="1573">
        <f t="shared" si="12"/>
        <v>100</v>
      </c>
      <c r="T29" s="1572" t="s">
        <v>11</v>
      </c>
      <c r="U29" s="1573">
        <f t="shared" si="13"/>
        <v>100</v>
      </c>
      <c r="V29" s="1572" t="s">
        <v>11</v>
      </c>
      <c r="W29" s="1573">
        <f t="shared" si="14"/>
        <v>100</v>
      </c>
      <c r="X29" s="1566"/>
      <c r="Y29" s="3404"/>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4"/>
      <c r="Q30" s="1571">
        <f t="shared" si="11"/>
        <v>111</v>
      </c>
      <c r="R30" s="1572" t="s">
        <v>11</v>
      </c>
      <c r="S30" s="1573">
        <f t="shared" si="12"/>
        <v>100</v>
      </c>
      <c r="T30" s="1572" t="s">
        <v>11</v>
      </c>
      <c r="U30" s="1573">
        <f t="shared" si="13"/>
        <v>100</v>
      </c>
      <c r="V30" s="1572" t="s">
        <v>11</v>
      </c>
      <c r="W30" s="1573">
        <f t="shared" si="14"/>
        <v>100</v>
      </c>
      <c r="X30" s="1566"/>
      <c r="Y30" s="3404"/>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4"/>
      <c r="Q31" s="1571">
        <f t="shared" si="11"/>
        <v>111</v>
      </c>
      <c r="R31" s="1572" t="s">
        <v>11</v>
      </c>
      <c r="S31" s="1573">
        <f t="shared" si="12"/>
        <v>100</v>
      </c>
      <c r="T31" s="1572" t="s">
        <v>11</v>
      </c>
      <c r="U31" s="1573">
        <f t="shared" si="13"/>
        <v>100</v>
      </c>
      <c r="V31" s="1572" t="s">
        <v>11</v>
      </c>
      <c r="W31" s="1573">
        <f t="shared" si="14"/>
        <v>100</v>
      </c>
      <c r="X31" s="1566"/>
      <c r="Y31" s="3404"/>
      <c r="Z31" s="1574">
        <f t="shared" si="15"/>
        <v>111</v>
      </c>
      <c r="AA31" s="1575">
        <f t="shared" si="3"/>
        <v>1</v>
      </c>
      <c r="AB31" s="1575">
        <f t="shared" si="4"/>
        <v>1</v>
      </c>
      <c r="AC31" s="1575">
        <f t="shared" si="5"/>
        <v>1</v>
      </c>
    </row>
    <row r="32" spans="1:29" ht="15">
      <c r="A32" s="2907" t="s">
        <v>2757</v>
      </c>
      <c r="B32" s="172" t="s">
        <v>724</v>
      </c>
      <c r="C32" s="878" t="s">
        <v>3163</v>
      </c>
      <c r="D32" s="597">
        <v>100</v>
      </c>
      <c r="E32" s="879" t="s">
        <v>3161</v>
      </c>
      <c r="F32" s="575">
        <f>SUMIF(100:100,E32,101:101)-SUMIF(100:100,C32,101:101)+100</f>
        <v>110</v>
      </c>
      <c r="G32" s="878" t="s">
        <v>3000</v>
      </c>
      <c r="H32" s="597">
        <f>SUMIF(100:100,G32,101:101)-SUMIF(100:100,C32,101:101)+100</f>
        <v>105</v>
      </c>
      <c r="I32" s="879" t="s">
        <v>3000</v>
      </c>
      <c r="J32" s="540">
        <f>SUMIF(100:100,I32,101:101)-SUMIF(100:100,C32,101:101)+100</f>
        <v>105</v>
      </c>
      <c r="K32" s="864">
        <v>5</v>
      </c>
      <c r="L32" s="2142"/>
      <c r="M32" s="2134"/>
      <c r="N32" s="2134"/>
      <c r="O32" s="2141"/>
      <c r="P32" s="3405" t="s">
        <v>549</v>
      </c>
      <c r="Q32" s="1571" t="str">
        <f t="shared" si="11"/>
        <v>建筑类型</v>
      </c>
      <c r="R32" s="1572" t="s">
        <v>11</v>
      </c>
      <c r="S32" s="1573">
        <f t="shared" si="12"/>
        <v>110</v>
      </c>
      <c r="T32" s="1572" t="s">
        <v>11</v>
      </c>
      <c r="U32" s="1573">
        <f t="shared" si="13"/>
        <v>105</v>
      </c>
      <c r="V32" s="1572" t="s">
        <v>11</v>
      </c>
      <c r="W32" s="1573">
        <f t="shared" si="14"/>
        <v>105</v>
      </c>
      <c r="X32" s="1566"/>
      <c r="Y32" s="3406" t="s">
        <v>549</v>
      </c>
      <c r="Z32" s="1574" t="str">
        <f t="shared" si="15"/>
        <v>建筑类型</v>
      </c>
      <c r="AA32" s="1575">
        <f t="shared" si="3"/>
        <v>0.90909090909090906</v>
      </c>
      <c r="AB32" s="1575">
        <f t="shared" si="4"/>
        <v>0.95238095238095233</v>
      </c>
      <c r="AC32" s="1575">
        <f t="shared" si="5"/>
        <v>0.95238095238095233</v>
      </c>
    </row>
    <row r="33" spans="1:29" s="1338" customFormat="1" ht="15">
      <c r="A33" s="603"/>
      <c r="B33" s="527" t="s">
        <v>725</v>
      </c>
      <c r="C33" s="880">
        <f>'数据-基础表'!I13+'数据-基础表'!K14</f>
        <v>7937</v>
      </c>
      <c r="D33" s="255">
        <v>100</v>
      </c>
      <c r="E33" s="534">
        <v>22498</v>
      </c>
      <c r="F33" s="863">
        <f>LOOKUP(E33,103:103,104:104)-LOOKUP(C33,103:103,104:104)+100</f>
        <v>96</v>
      </c>
      <c r="G33" s="533">
        <v>24000</v>
      </c>
      <c r="H33" s="255">
        <f>LOOKUP(G33,103:103,104:104)-LOOKUP(C33,103:103,104:104)+100</f>
        <v>96</v>
      </c>
      <c r="I33" s="534">
        <v>12954</v>
      </c>
      <c r="J33" s="255">
        <f>LOOKUP(I33,103:103,104:104)-LOOKUP(C33,103:103,104:104)+100</f>
        <v>98</v>
      </c>
      <c r="K33" s="865"/>
      <c r="L33" s="2140"/>
      <c r="M33" s="2171"/>
      <c r="N33" s="2171"/>
      <c r="O33" s="2143"/>
      <c r="P33" s="3406"/>
      <c r="Q33" s="1604" t="str">
        <f t="shared" si="11"/>
        <v>项目建筑规模</v>
      </c>
      <c r="R33" s="1576" t="s">
        <v>11</v>
      </c>
      <c r="S33" s="1577">
        <f t="shared" si="12"/>
        <v>96</v>
      </c>
      <c r="T33" s="1576" t="s">
        <v>11</v>
      </c>
      <c r="U33" s="1577">
        <f t="shared" si="13"/>
        <v>96</v>
      </c>
      <c r="V33" s="1576" t="s">
        <v>11</v>
      </c>
      <c r="W33" s="1577">
        <f t="shared" si="14"/>
        <v>98</v>
      </c>
      <c r="X33" s="1578"/>
      <c r="Y33" s="3406"/>
      <c r="Z33" s="1579" t="str">
        <f t="shared" si="15"/>
        <v>项目建筑规模</v>
      </c>
      <c r="AA33" s="1575">
        <f t="shared" si="3"/>
        <v>1.0416666666666667</v>
      </c>
      <c r="AB33" s="1575">
        <f t="shared" si="4"/>
        <v>1.0416666666666667</v>
      </c>
      <c r="AC33" s="1575">
        <f t="shared" si="5"/>
        <v>1.0204081632653061</v>
      </c>
    </row>
    <row r="34" spans="1:29" ht="15">
      <c r="A34" s="594"/>
      <c r="B34" s="527" t="s">
        <v>726</v>
      </c>
      <c r="C34" s="881" t="s">
        <v>3014</v>
      </c>
      <c r="D34" s="540">
        <v>100</v>
      </c>
      <c r="E34" s="882" t="s">
        <v>3014</v>
      </c>
      <c r="F34" s="575">
        <f>SUMIF(105:105,E34,106:106)-SUMIF(105:105,C34,106:106)+100</f>
        <v>100</v>
      </c>
      <c r="G34" s="881" t="s">
        <v>3014</v>
      </c>
      <c r="H34" s="540">
        <f>SUMIF(105:105,G34,106:106)-SUMIF(105:105,C34,106:106)+100</f>
        <v>100</v>
      </c>
      <c r="I34" s="882" t="s">
        <v>3014</v>
      </c>
      <c r="J34" s="540">
        <f>SUMIF(105:105,I34,106:106)-SUMIF(105:105,C34,106:106)+100</f>
        <v>100</v>
      </c>
      <c r="K34" s="864">
        <v>1</v>
      </c>
      <c r="L34" s="2142"/>
      <c r="M34" s="2134"/>
      <c r="N34" s="2134"/>
      <c r="O34" s="2141"/>
      <c r="P34" s="3406"/>
      <c r="Q34" s="1571" t="str">
        <f t="shared" si="11"/>
        <v>建筑结构</v>
      </c>
      <c r="R34" s="1572" t="s">
        <v>11</v>
      </c>
      <c r="S34" s="1573">
        <f t="shared" si="12"/>
        <v>100</v>
      </c>
      <c r="T34" s="1572" t="s">
        <v>11</v>
      </c>
      <c r="U34" s="1573">
        <f t="shared" si="13"/>
        <v>100</v>
      </c>
      <c r="V34" s="1572" t="s">
        <v>11</v>
      </c>
      <c r="W34" s="1573">
        <f t="shared" si="14"/>
        <v>100</v>
      </c>
      <c r="X34" s="1566"/>
      <c r="Y34" s="3406"/>
      <c r="Z34" s="1574" t="str">
        <f t="shared" si="15"/>
        <v>建筑结构</v>
      </c>
      <c r="AA34" s="1575">
        <f t="shared" si="3"/>
        <v>1</v>
      </c>
      <c r="AB34" s="1575">
        <f t="shared" si="4"/>
        <v>1</v>
      </c>
      <c r="AC34" s="1575">
        <f t="shared" si="5"/>
        <v>1</v>
      </c>
    </row>
    <row r="35" spans="1:29" ht="15">
      <c r="A35" s="594"/>
      <c r="B35" s="527" t="s">
        <v>727</v>
      </c>
      <c r="C35" s="599" t="s">
        <v>3003</v>
      </c>
      <c r="D35" s="540">
        <v>100</v>
      </c>
      <c r="E35" s="874" t="s">
        <v>3003</v>
      </c>
      <c r="F35" s="575">
        <f>SUMIF(107:107,E35,108:108)-SUMIF(107:107,C35,108:108)+100</f>
        <v>100</v>
      </c>
      <c r="G35" s="599" t="s">
        <v>3004</v>
      </c>
      <c r="H35" s="540">
        <f>SUMIF(107:107,G35,108:108)-SUMIF(107:107,C35,108:108)+100</f>
        <v>98</v>
      </c>
      <c r="I35" s="874" t="s">
        <v>3004</v>
      </c>
      <c r="J35" s="540">
        <f>SUMIF(107:107,I35,108:108)-SUMIF(107:107,C35,108:108)+100</f>
        <v>98</v>
      </c>
      <c r="K35" s="864">
        <v>2</v>
      </c>
      <c r="L35" s="2142"/>
      <c r="M35" s="2134"/>
      <c r="N35" s="2134"/>
      <c r="O35" s="2141"/>
      <c r="P35" s="3406"/>
      <c r="Q35" s="1571" t="str">
        <f t="shared" si="11"/>
        <v>建筑品质</v>
      </c>
      <c r="R35" s="1572" t="s">
        <v>11</v>
      </c>
      <c r="S35" s="1573">
        <f t="shared" si="12"/>
        <v>100</v>
      </c>
      <c r="T35" s="1572" t="s">
        <v>11</v>
      </c>
      <c r="U35" s="1573">
        <f t="shared" si="13"/>
        <v>98</v>
      </c>
      <c r="V35" s="1572" t="s">
        <v>11</v>
      </c>
      <c r="W35" s="1573">
        <f t="shared" si="14"/>
        <v>98</v>
      </c>
      <c r="X35" s="1566"/>
      <c r="Y35" s="3406"/>
      <c r="Z35" s="1574" t="str">
        <f t="shared" si="15"/>
        <v>建筑品质</v>
      </c>
      <c r="AA35" s="1575">
        <f t="shared" si="3"/>
        <v>1</v>
      </c>
      <c r="AB35" s="1575">
        <f t="shared" si="4"/>
        <v>1.0204081632653061</v>
      </c>
      <c r="AC35" s="1575">
        <f t="shared" si="5"/>
        <v>1.0204081632653061</v>
      </c>
    </row>
    <row r="36" spans="1:29" ht="15">
      <c r="A36" s="594"/>
      <c r="B36" s="527" t="s">
        <v>728</v>
      </c>
      <c r="C36" s="599" t="s">
        <v>3005</v>
      </c>
      <c r="D36" s="540">
        <v>100</v>
      </c>
      <c r="E36" s="874" t="s">
        <v>3005</v>
      </c>
      <c r="F36" s="575">
        <f>SUMIF(109:109,E36,110:110)-SUMIF(109:109,C36,110:110)+100</f>
        <v>100</v>
      </c>
      <c r="G36" s="599" t="s">
        <v>3005</v>
      </c>
      <c r="H36" s="540">
        <f>SUMIF(109:109,G36,110:110)-SUMIF(109:109,C36,110:110)+100</f>
        <v>100</v>
      </c>
      <c r="I36" s="874" t="s">
        <v>3005</v>
      </c>
      <c r="J36" s="540">
        <f>SUMIF(109:109,I36,110:110)-SUMIF(109:109,C36,110:110)+100</f>
        <v>100</v>
      </c>
      <c r="K36" s="864">
        <v>2</v>
      </c>
      <c r="L36" s="2142"/>
      <c r="M36" s="2134"/>
      <c r="N36" s="2134"/>
      <c r="O36" s="2141"/>
      <c r="P36" s="3406"/>
      <c r="Q36" s="1571" t="str">
        <f t="shared" si="11"/>
        <v>公共部分装修</v>
      </c>
      <c r="R36" s="1572" t="s">
        <v>11</v>
      </c>
      <c r="S36" s="1573">
        <f t="shared" si="12"/>
        <v>100</v>
      </c>
      <c r="T36" s="1572" t="s">
        <v>11</v>
      </c>
      <c r="U36" s="1573">
        <f t="shared" si="13"/>
        <v>100</v>
      </c>
      <c r="V36" s="1572" t="s">
        <v>11</v>
      </c>
      <c r="W36" s="1573">
        <f t="shared" si="14"/>
        <v>100</v>
      </c>
      <c r="X36" s="1566"/>
      <c r="Y36" s="3406"/>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06"/>
      <c r="Q37" s="1150" t="str">
        <f t="shared" si="11"/>
        <v>成新度</v>
      </c>
      <c r="R37" s="1567" t="s">
        <v>11</v>
      </c>
      <c r="S37" s="1568">
        <f t="shared" si="12"/>
        <v>100</v>
      </c>
      <c r="T37" s="1567" t="s">
        <v>11</v>
      </c>
      <c r="U37" s="1568">
        <f t="shared" si="13"/>
        <v>100</v>
      </c>
      <c r="V37" s="1567" t="s">
        <v>11</v>
      </c>
      <c r="W37" s="1568">
        <f t="shared" si="14"/>
        <v>100</v>
      </c>
      <c r="X37" s="1569"/>
      <c r="Y37" s="3406"/>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06" t="s">
        <v>549</v>
      </c>
      <c r="Q38" s="1571" t="str">
        <f t="shared" si="11"/>
        <v>物业管理</v>
      </c>
      <c r="R38" s="1572" t="s">
        <v>11</v>
      </c>
      <c r="S38" s="1573">
        <f t="shared" si="12"/>
        <v>100</v>
      </c>
      <c r="T38" s="1572" t="s">
        <v>11</v>
      </c>
      <c r="U38" s="1573">
        <f t="shared" si="13"/>
        <v>100</v>
      </c>
      <c r="V38" s="1572" t="s">
        <v>11</v>
      </c>
      <c r="W38" s="1573">
        <f t="shared" si="14"/>
        <v>100</v>
      </c>
      <c r="X38" s="1566"/>
      <c r="Y38" s="3406"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06"/>
      <c r="Q39" s="1571" t="str">
        <f t="shared" si="11"/>
        <v>市政基础设施</v>
      </c>
      <c r="R39" s="1572" t="s">
        <v>11</v>
      </c>
      <c r="S39" s="1573">
        <f t="shared" si="12"/>
        <v>100</v>
      </c>
      <c r="T39" s="1572" t="s">
        <v>11</v>
      </c>
      <c r="U39" s="1573">
        <f t="shared" si="13"/>
        <v>100</v>
      </c>
      <c r="V39" s="1572" t="s">
        <v>11</v>
      </c>
      <c r="W39" s="1573">
        <f t="shared" si="14"/>
        <v>100</v>
      </c>
      <c r="X39" s="1566"/>
      <c r="Y39" s="3406"/>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6"/>
      <c r="Q40" s="1571" t="str">
        <f t="shared" si="11"/>
        <v>房型</v>
      </c>
      <c r="R40" s="1572" t="s">
        <v>11</v>
      </c>
      <c r="S40" s="1573">
        <f t="shared" si="12"/>
        <v>100</v>
      </c>
      <c r="T40" s="1572" t="s">
        <v>11</v>
      </c>
      <c r="U40" s="1573">
        <f t="shared" si="13"/>
        <v>100</v>
      </c>
      <c r="V40" s="1572" t="s">
        <v>11</v>
      </c>
      <c r="W40" s="1573">
        <f t="shared" si="14"/>
        <v>100</v>
      </c>
      <c r="X40" s="1566"/>
      <c r="Y40" s="3406"/>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6"/>
      <c r="Q41" s="1604" t="str">
        <f t="shared" si="11"/>
        <v>单套/主力户型建筑面积</v>
      </c>
      <c r="R41" s="1576" t="s">
        <v>11</v>
      </c>
      <c r="S41" s="1577">
        <f t="shared" si="12"/>
        <v>100</v>
      </c>
      <c r="T41" s="1576" t="s">
        <v>11</v>
      </c>
      <c r="U41" s="1577">
        <f t="shared" si="13"/>
        <v>100</v>
      </c>
      <c r="V41" s="1576" t="s">
        <v>11</v>
      </c>
      <c r="W41" s="1577">
        <f t="shared" si="14"/>
        <v>100</v>
      </c>
      <c r="X41" s="1578"/>
      <c r="Y41" s="3406"/>
      <c r="Z41" s="1579" t="str">
        <f t="shared" si="15"/>
        <v>单套/主力户型建筑面积</v>
      </c>
      <c r="AA41" s="1575">
        <f t="shared" si="3"/>
        <v>1</v>
      </c>
      <c r="AB41" s="1575">
        <f t="shared" si="4"/>
        <v>1</v>
      </c>
      <c r="AC41" s="1575">
        <f t="shared" si="5"/>
        <v>1</v>
      </c>
    </row>
    <row r="42" spans="1:29" ht="15">
      <c r="A42" s="594"/>
      <c r="B42" s="527" t="s">
        <v>733</v>
      </c>
      <c r="C42" s="599" t="s">
        <v>3009</v>
      </c>
      <c r="D42" s="540">
        <v>100</v>
      </c>
      <c r="E42" s="874" t="s">
        <v>3009</v>
      </c>
      <c r="F42" s="575">
        <f>SUMIF(122:122,E42,123:123)-SUMIF(122:122,C42,123:123)+100</f>
        <v>100</v>
      </c>
      <c r="G42" s="599" t="s">
        <v>3009</v>
      </c>
      <c r="H42" s="540">
        <f>SUMIF(122:122,G42,123:123)-SUMIF(122:122,C42,123:123)+100</f>
        <v>100</v>
      </c>
      <c r="I42" s="874" t="s">
        <v>3009</v>
      </c>
      <c r="J42" s="540">
        <f>SUMIF(122:122,I42,123:123)-SUMIF(122:122,C42,123:123)+100</f>
        <v>100</v>
      </c>
      <c r="K42" s="864">
        <v>1</v>
      </c>
      <c r="L42" s="2142"/>
      <c r="M42" s="2134"/>
      <c r="N42" s="2134"/>
      <c r="O42" s="2141"/>
      <c r="P42" s="3406"/>
      <c r="Q42" s="1571" t="str">
        <f t="shared" si="11"/>
        <v>内部装修</v>
      </c>
      <c r="R42" s="1572" t="s">
        <v>11</v>
      </c>
      <c r="S42" s="1573">
        <f t="shared" si="12"/>
        <v>100</v>
      </c>
      <c r="T42" s="1572" t="s">
        <v>11</v>
      </c>
      <c r="U42" s="1573">
        <f t="shared" si="13"/>
        <v>100</v>
      </c>
      <c r="V42" s="1572" t="s">
        <v>11</v>
      </c>
      <c r="W42" s="1573">
        <f t="shared" si="14"/>
        <v>100</v>
      </c>
      <c r="X42" s="1566"/>
      <c r="Y42" s="3406"/>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406"/>
      <c r="Q43" s="1571" t="str">
        <f t="shared" si="11"/>
        <v>内部装修维护情况</v>
      </c>
      <c r="R43" s="1572" t="s">
        <v>11</v>
      </c>
      <c r="S43" s="1573">
        <f t="shared" si="12"/>
        <v>100</v>
      </c>
      <c r="T43" s="1572" t="s">
        <v>11</v>
      </c>
      <c r="U43" s="1573">
        <f t="shared" si="13"/>
        <v>100</v>
      </c>
      <c r="V43" s="1572" t="s">
        <v>11</v>
      </c>
      <c r="W43" s="1573">
        <f t="shared" si="14"/>
        <v>100</v>
      </c>
      <c r="X43" s="1566"/>
      <c r="Y43" s="3406"/>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6"/>
      <c r="Q44" s="1150">
        <f t="shared" si="11"/>
        <v>111</v>
      </c>
      <c r="R44" s="1567" t="s">
        <v>11</v>
      </c>
      <c r="S44" s="1568">
        <f t="shared" si="12"/>
        <v>100</v>
      </c>
      <c r="T44" s="1567" t="s">
        <v>11</v>
      </c>
      <c r="U44" s="1568">
        <f t="shared" si="13"/>
        <v>100</v>
      </c>
      <c r="V44" s="1567" t="s">
        <v>11</v>
      </c>
      <c r="W44" s="1568">
        <f t="shared" si="14"/>
        <v>100</v>
      </c>
      <c r="X44" s="1569"/>
      <c r="Y44" s="3406"/>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6"/>
      <c r="Q45" s="1571">
        <f t="shared" si="11"/>
        <v>111</v>
      </c>
      <c r="R45" s="1572" t="s">
        <v>11</v>
      </c>
      <c r="S45" s="1573">
        <f t="shared" si="12"/>
        <v>100</v>
      </c>
      <c r="T45" s="1572" t="s">
        <v>11</v>
      </c>
      <c r="U45" s="1573">
        <f t="shared" si="13"/>
        <v>100</v>
      </c>
      <c r="V45" s="1572" t="s">
        <v>11</v>
      </c>
      <c r="W45" s="1573">
        <f t="shared" si="14"/>
        <v>100</v>
      </c>
      <c r="X45" s="1566"/>
      <c r="Y45" s="3406"/>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4"/>
      <c r="Q46" s="1571">
        <f t="shared" si="11"/>
        <v>111</v>
      </c>
      <c r="R46" s="1572" t="s">
        <v>10</v>
      </c>
      <c r="S46" s="1573">
        <f t="shared" si="12"/>
        <v>100</v>
      </c>
      <c r="T46" s="1572" t="s">
        <v>10</v>
      </c>
      <c r="U46" s="1573">
        <f t="shared" si="13"/>
        <v>100</v>
      </c>
      <c r="V46" s="1572" t="s">
        <v>10</v>
      </c>
      <c r="W46" s="1573">
        <f t="shared" si="14"/>
        <v>100</v>
      </c>
      <c r="X46" s="1566"/>
      <c r="Y46" s="3484"/>
      <c r="Z46" s="1574">
        <f t="shared" si="15"/>
        <v>111</v>
      </c>
      <c r="AA46" s="1575">
        <f t="shared" si="3"/>
        <v>1</v>
      </c>
      <c r="AB46" s="1575">
        <f t="shared" si="4"/>
        <v>1</v>
      </c>
      <c r="AC46" s="1575">
        <f t="shared" si="5"/>
        <v>1</v>
      </c>
    </row>
    <row r="47" spans="1:29" ht="15">
      <c r="A47" s="607" t="s">
        <v>735</v>
      </c>
      <c r="B47" s="887"/>
      <c r="C47" s="2627" t="s">
        <v>9</v>
      </c>
      <c r="D47" s="2628"/>
      <c r="E47" s="2629">
        <v>15500</v>
      </c>
      <c r="F47" s="2630"/>
      <c r="G47" s="2631">
        <v>14000</v>
      </c>
      <c r="H47" s="2632"/>
      <c r="I47" s="2629">
        <v>12500</v>
      </c>
      <c r="J47" s="2632"/>
      <c r="K47" s="1605"/>
      <c r="L47" s="2144"/>
      <c r="M47" s="2145"/>
      <c r="N47" s="2134"/>
      <c r="O47" s="2145"/>
      <c r="P47" s="3369" t="str">
        <f>A47</f>
        <v>成交单价（元/平方米）</v>
      </c>
      <c r="Q47" s="3369"/>
      <c r="R47" s="3483">
        <f>E47</f>
        <v>15500</v>
      </c>
      <c r="S47" s="3483"/>
      <c r="T47" s="3483">
        <f>G47</f>
        <v>14000</v>
      </c>
      <c r="U47" s="3483"/>
      <c r="V47" s="3483">
        <f>I47</f>
        <v>12500</v>
      </c>
      <c r="W47" s="3483"/>
      <c r="X47" s="1558"/>
      <c r="Y47" s="1580"/>
      <c r="Z47" s="1558"/>
      <c r="AA47" s="1558"/>
      <c r="AB47" s="1558"/>
      <c r="AC47" s="1558"/>
    </row>
    <row r="48" spans="1:29" ht="15.75" thickBot="1">
      <c r="A48" s="615" t="s">
        <v>2762</v>
      </c>
      <c r="B48" s="888"/>
      <c r="C48" s="2633">
        <f>R49</f>
        <v>13694.1</v>
      </c>
      <c r="D48" s="2634"/>
      <c r="E48" s="2635">
        <f>R48</f>
        <v>14109.4</v>
      </c>
      <c r="F48" s="2635"/>
      <c r="G48" s="2633">
        <f>T48</f>
        <v>13729.7</v>
      </c>
      <c r="H48" s="2634"/>
      <c r="I48" s="2635">
        <f>V48</f>
        <v>13243.2</v>
      </c>
      <c r="J48" s="2634"/>
      <c r="K48" s="1606"/>
      <c r="L48" s="2144"/>
      <c r="M48" s="2145"/>
      <c r="N48" s="2145"/>
      <c r="O48" s="2145"/>
      <c r="P48" s="3369" t="str">
        <f>A48</f>
        <v>比较价格（元/平方米）</v>
      </c>
      <c r="Q48" s="3369"/>
      <c r="R48" s="3483">
        <f>IF(F1="售价",ROUND(PRODUCT(R47,AA7:AA46),0),ROUND(PRODUCT(R47,AA7:AA46),1))</f>
        <v>14109.4</v>
      </c>
      <c r="S48" s="3483"/>
      <c r="T48" s="3483">
        <f>IF(F1="售价",ROUND(PRODUCT(T47,AB7:AB46),0),ROUND(PRODUCT(T47,AB7:AB46),1))</f>
        <v>13729.7</v>
      </c>
      <c r="U48" s="3483"/>
      <c r="V48" s="3483">
        <f>IF(F1="售价",ROUND(PRODUCT(V47,AC7:AC46),0),ROUND(PRODUCT(V47,AC7:AC46),1))</f>
        <v>13243.2</v>
      </c>
      <c r="W48" s="3483"/>
      <c r="X48" s="1558"/>
      <c r="Y48" s="1558"/>
      <c r="Z48" s="1558"/>
      <c r="AA48" s="1558"/>
      <c r="AB48" s="1558"/>
      <c r="AC48" s="1558"/>
    </row>
    <row r="49" spans="1:29" ht="15.75" thickBot="1">
      <c r="A49" s="621" t="s">
        <v>2939</v>
      </c>
      <c r="B49" s="622"/>
      <c r="C49" s="2636">
        <f>R49</f>
        <v>13694.1</v>
      </c>
      <c r="D49" s="2636"/>
      <c r="E49" s="2636"/>
      <c r="F49" s="2636"/>
      <c r="G49" s="2636"/>
      <c r="H49" s="2636"/>
      <c r="I49" s="2636"/>
      <c r="J49" s="2636"/>
      <c r="K49" s="1607"/>
      <c r="L49" s="2144"/>
      <c r="M49" s="2145"/>
      <c r="N49" s="2145"/>
      <c r="O49" s="2145"/>
      <c r="P49" s="3366" t="str">
        <f>A49</f>
        <v>估价对象XX用房的比较价格（楼面单价，元/平方米）</v>
      </c>
      <c r="Q49" s="3367"/>
      <c r="R49" s="3482">
        <f>IF(F1="售价",ROUND(AVERAGE(R48:V48),0),ROUND(AVERAGE(R48:V48),1))</f>
        <v>13694.1</v>
      </c>
      <c r="S49" s="3482"/>
      <c r="T49" s="3482"/>
      <c r="U49" s="3482"/>
      <c r="V49" s="3482"/>
      <c r="W49" s="348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9.8558407869930642E-2</v>
      </c>
      <c r="F52" s="627" t="str">
        <f>IF(OR(E52&gt;=0.3,E52&lt;=-0.3),"超过30%","")</f>
        <v/>
      </c>
      <c r="G52" s="626">
        <f>IF(G47&lt;G48,G48/G47-1,G47/G48-1)</f>
        <v>1.9687247354275739E-2</v>
      </c>
      <c r="H52" s="627" t="str">
        <f>IF(OR(G52&gt;=0.3,G52&lt;=-0.3),"超过30%","")</f>
        <v/>
      </c>
      <c r="I52" s="626">
        <f>IF(I47&lt;I48,I48/I47-1,I47/I48-1)</f>
        <v>5.9455999999999953E-2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2.7655374844315572E-2</v>
      </c>
      <c r="F53" s="627" t="str">
        <f>IF(OR(E53&gt;=0.2,E53&lt;=-0.2),"超过20%","")</f>
        <v/>
      </c>
      <c r="G53" s="626">
        <f>IF(G48&lt;I48,I48/G48-1,G48/I48-1)</f>
        <v>3.6735834239458809E-2</v>
      </c>
      <c r="H53" s="627" t="str">
        <f>IF(OR(G53&gt;=0.2,G53&lt;=-0.2),"超过20%","")</f>
        <v/>
      </c>
      <c r="I53" s="626">
        <f>IF(I48&lt;E48,E48/I48-1,I48/E48-1)</f>
        <v>6.5407152349885145E-2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0" t="s">
        <v>3023</v>
      </c>
      <c r="D90" s="3180" t="s">
        <v>3024</v>
      </c>
      <c r="E90" s="3180" t="s">
        <v>3025</v>
      </c>
      <c r="F90" s="3180" t="s">
        <v>3026</v>
      </c>
      <c r="G90" s="3180" t="s">
        <v>3027</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9" t="s">
        <v>3147</v>
      </c>
      <c r="D100" s="3179" t="s">
        <v>3162</v>
      </c>
      <c r="E100" s="3179" t="s">
        <v>3158</v>
      </c>
      <c r="F100" s="3179" t="s">
        <v>3159</v>
      </c>
      <c r="G100" s="3179" t="s">
        <v>3160</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3015</v>
      </c>
      <c r="D105" s="3180" t="s">
        <v>3016</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3017</v>
      </c>
      <c r="D107" s="3181" t="s">
        <v>3018</v>
      </c>
      <c r="E107" s="3181" t="s">
        <v>3019</v>
      </c>
      <c r="F107" s="3181" t="s">
        <v>3020</v>
      </c>
      <c r="G107" s="3181" t="s">
        <v>3021</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3013</v>
      </c>
      <c r="D109" s="3180" t="s">
        <v>3007</v>
      </c>
      <c r="E109" s="3180" t="s">
        <v>3008</v>
      </c>
      <c r="F109" s="3181" t="s">
        <v>3010</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3011</v>
      </c>
      <c r="D114" s="3180" t="s">
        <v>3012</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3006</v>
      </c>
      <c r="D122" s="3180" t="s">
        <v>3007</v>
      </c>
      <c r="E122" s="3180" t="s">
        <v>3008</v>
      </c>
      <c r="F122" s="3181" t="s">
        <v>3010</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375" t="s">
        <v>521</v>
      </c>
      <c r="D4" s="3376"/>
      <c r="E4" s="3410" t="s">
        <v>522</v>
      </c>
      <c r="F4" s="3411"/>
      <c r="G4" s="3375" t="s">
        <v>523</v>
      </c>
      <c r="H4" s="3376"/>
      <c r="I4" s="3375" t="s">
        <v>524</v>
      </c>
      <c r="J4" s="3376"/>
      <c r="K4" s="514" t="s">
        <v>525</v>
      </c>
      <c r="L4" s="2133"/>
      <c r="M4" s="2134"/>
      <c r="N4" s="2134"/>
      <c r="O4" s="2134"/>
      <c r="P4" s="3377" t="s">
        <v>526</v>
      </c>
      <c r="Q4" s="3378"/>
      <c r="R4" s="3383" t="s">
        <v>522</v>
      </c>
      <c r="S4" s="3384"/>
      <c r="T4" s="3383" t="s">
        <v>523</v>
      </c>
      <c r="U4" s="3384"/>
      <c r="V4" s="3370" t="s">
        <v>524</v>
      </c>
      <c r="W4" s="3370"/>
      <c r="X4" s="1566"/>
      <c r="Y4" s="3383" t="s">
        <v>526</v>
      </c>
      <c r="Z4" s="3384"/>
      <c r="AA4" s="3372" t="s">
        <v>522</v>
      </c>
      <c r="AB4" s="3370" t="s">
        <v>523</v>
      </c>
      <c r="AC4" s="3372" t="s">
        <v>524</v>
      </c>
    </row>
    <row r="5" spans="1:29" ht="15">
      <c r="A5" s="515"/>
      <c r="B5" s="516"/>
      <c r="C5" s="3407" t="s">
        <v>2933</v>
      </c>
      <c r="D5" s="3392"/>
      <c r="E5" s="3412" t="s">
        <v>2934</v>
      </c>
      <c r="F5" s="3413"/>
      <c r="G5" s="3407" t="s">
        <v>2935</v>
      </c>
      <c r="H5" s="3392"/>
      <c r="I5" s="3407" t="s">
        <v>2936</v>
      </c>
      <c r="J5" s="3392"/>
      <c r="K5" s="514"/>
      <c r="L5" s="2133"/>
      <c r="M5" s="2134"/>
      <c r="N5" s="2134"/>
      <c r="O5" s="2134"/>
      <c r="P5" s="3379"/>
      <c r="Q5" s="3380"/>
      <c r="R5" s="3385"/>
      <c r="S5" s="3386"/>
      <c r="T5" s="3385"/>
      <c r="U5" s="3386"/>
      <c r="V5" s="3370"/>
      <c r="W5" s="3370"/>
      <c r="X5" s="1566"/>
      <c r="Y5" s="3385"/>
      <c r="Z5" s="3386"/>
      <c r="AA5" s="3373"/>
      <c r="AB5" s="3370"/>
      <c r="AC5" s="3373"/>
    </row>
    <row r="6" spans="1:29" ht="15.75" thickBot="1">
      <c r="A6" s="517"/>
      <c r="B6" s="518"/>
      <c r="C6" s="3389" t="s">
        <v>2937</v>
      </c>
      <c r="D6" s="3390"/>
      <c r="E6" s="3408" t="s">
        <v>2937</v>
      </c>
      <c r="F6" s="3409"/>
      <c r="G6" s="3389" t="s">
        <v>2937</v>
      </c>
      <c r="H6" s="3390"/>
      <c r="I6" s="3389" t="s">
        <v>2937</v>
      </c>
      <c r="J6" s="3390"/>
      <c r="K6" s="514" t="s">
        <v>527</v>
      </c>
      <c r="L6" s="2133"/>
      <c r="M6" s="2134"/>
      <c r="N6" s="2134"/>
      <c r="O6" s="2134"/>
      <c r="P6" s="3381"/>
      <c r="Q6" s="3382"/>
      <c r="R6" s="3385"/>
      <c r="S6" s="3386"/>
      <c r="T6" s="3387"/>
      <c r="U6" s="3388"/>
      <c r="V6" s="3370"/>
      <c r="W6" s="3370"/>
      <c r="X6" s="1566"/>
      <c r="Y6" s="3387"/>
      <c r="Z6" s="3388"/>
      <c r="AA6" s="3374"/>
      <c r="AB6" s="3370"/>
      <c r="AC6" s="3374"/>
    </row>
    <row r="7" spans="1:29" s="1219" customFormat="1" ht="15.75" thickBot="1">
      <c r="A7" s="2912"/>
      <c r="B7" s="2919" t="s">
        <v>528</v>
      </c>
      <c r="C7" s="519">
        <f>'数据-取费表'!B2</f>
        <v>43334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0" t="s">
        <v>529</v>
      </c>
      <c r="Q7" s="3402"/>
      <c r="R7" s="1567" t="s">
        <v>8</v>
      </c>
      <c r="S7" s="1568">
        <f t="shared" ref="S7:S15" si="0">F7</f>
        <v>0</v>
      </c>
      <c r="T7" s="1567" t="s">
        <v>8</v>
      </c>
      <c r="U7" s="1568">
        <f t="shared" ref="U7:U15" si="1">H7</f>
        <v>0</v>
      </c>
      <c r="V7" s="1567" t="s">
        <v>8</v>
      </c>
      <c r="W7" s="1568">
        <f t="shared" ref="W7:W15" si="2">J7</f>
        <v>0</v>
      </c>
      <c r="X7" s="1569"/>
      <c r="Y7" s="3400" t="s">
        <v>529</v>
      </c>
      <c r="Z7" s="3401"/>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0" t="s">
        <v>532</v>
      </c>
      <c r="Q8" s="3401"/>
      <c r="R8" s="1567" t="s">
        <v>8</v>
      </c>
      <c r="S8" s="1568">
        <f t="shared" si="0"/>
        <v>0</v>
      </c>
      <c r="T8" s="1567" t="s">
        <v>8</v>
      </c>
      <c r="U8" s="1568">
        <f t="shared" si="1"/>
        <v>0</v>
      </c>
      <c r="V8" s="1567" t="s">
        <v>8</v>
      </c>
      <c r="W8" s="1568">
        <f t="shared" si="2"/>
        <v>0</v>
      </c>
      <c r="X8" s="1569"/>
      <c r="Y8" s="3400" t="s">
        <v>532</v>
      </c>
      <c r="Z8" s="3401"/>
      <c r="AA8" s="1570" t="e">
        <f t="shared" ref="AA8:AA46" si="3">D8/F8</f>
        <v>#DIV/0!</v>
      </c>
      <c r="AB8" s="1570" t="e">
        <f t="shared" ref="AB8:AB46" si="4">D8/H8</f>
        <v>#DIV/0!</v>
      </c>
      <c r="AC8" s="1570"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9" t="s">
        <v>534</v>
      </c>
      <c r="Q9" s="1150" t="str">
        <f t="shared" ref="Q9:Q15" si="6">B9</f>
        <v>用途</v>
      </c>
      <c r="R9" s="1567" t="s">
        <v>8</v>
      </c>
      <c r="S9" s="1568">
        <f t="shared" si="0"/>
        <v>100</v>
      </c>
      <c r="T9" s="1567" t="s">
        <v>8</v>
      </c>
      <c r="U9" s="1568">
        <f t="shared" si="1"/>
        <v>100</v>
      </c>
      <c r="V9" s="1567" t="s">
        <v>8</v>
      </c>
      <c r="W9" s="1568">
        <f t="shared" si="2"/>
        <v>100</v>
      </c>
      <c r="X9" s="1569"/>
      <c r="Y9" s="3315"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9"/>
      <c r="Q10" s="1150" t="str">
        <f t="shared" si="6"/>
        <v>土地使用年限（年）</v>
      </c>
      <c r="R10" s="1567" t="s">
        <v>8</v>
      </c>
      <c r="S10" s="1568">
        <f t="shared" si="0"/>
        <v>100</v>
      </c>
      <c r="T10" s="1567" t="s">
        <v>8</v>
      </c>
      <c r="U10" s="1568">
        <f t="shared" si="1"/>
        <v>100</v>
      </c>
      <c r="V10" s="1567" t="s">
        <v>8</v>
      </c>
      <c r="W10" s="1568">
        <f t="shared" si="2"/>
        <v>100</v>
      </c>
      <c r="X10" s="1569"/>
      <c r="Y10" s="3315"/>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9"/>
      <c r="Q11" s="1150" t="str">
        <f t="shared" si="6"/>
        <v>容积率</v>
      </c>
      <c r="R11" s="1567" t="s">
        <v>8</v>
      </c>
      <c r="S11" s="1568" t="e">
        <f t="shared" si="0"/>
        <v>#N/A</v>
      </c>
      <c r="T11" s="1567" t="s">
        <v>8</v>
      </c>
      <c r="U11" s="1568" t="e">
        <f t="shared" si="1"/>
        <v>#N/A</v>
      </c>
      <c r="V11" s="1567" t="s">
        <v>8</v>
      </c>
      <c r="W11" s="1568" t="e">
        <f t="shared" si="2"/>
        <v>#N/A</v>
      </c>
      <c r="X11" s="1569"/>
      <c r="Y11" s="3315"/>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9"/>
      <c r="Q12" s="1150">
        <f t="shared" si="6"/>
        <v>111</v>
      </c>
      <c r="R12" s="1567" t="s">
        <v>8</v>
      </c>
      <c r="S12" s="1568">
        <f t="shared" si="0"/>
        <v>100</v>
      </c>
      <c r="T12" s="1567" t="s">
        <v>8</v>
      </c>
      <c r="U12" s="1568">
        <f t="shared" si="1"/>
        <v>100</v>
      </c>
      <c r="V12" s="1567" t="s">
        <v>8</v>
      </c>
      <c r="W12" s="1568">
        <f t="shared" si="2"/>
        <v>100</v>
      </c>
      <c r="X12" s="1569"/>
      <c r="Y12" s="3315"/>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9"/>
      <c r="Q13" s="1150">
        <f t="shared" si="6"/>
        <v>111</v>
      </c>
      <c r="R13" s="1567" t="s">
        <v>8</v>
      </c>
      <c r="S13" s="1568">
        <f t="shared" si="0"/>
        <v>100</v>
      </c>
      <c r="T13" s="1567" t="s">
        <v>8</v>
      </c>
      <c r="U13" s="1568">
        <f t="shared" si="1"/>
        <v>100</v>
      </c>
      <c r="V13" s="1567" t="s">
        <v>8</v>
      </c>
      <c r="W13" s="1568">
        <f t="shared" si="2"/>
        <v>100</v>
      </c>
      <c r="X13" s="1569"/>
      <c r="Y13" s="3315"/>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9"/>
      <c r="Q14" s="1150">
        <f t="shared" si="6"/>
        <v>111</v>
      </c>
      <c r="R14" s="1567" t="s">
        <v>8</v>
      </c>
      <c r="S14" s="1568">
        <f t="shared" si="0"/>
        <v>100</v>
      </c>
      <c r="T14" s="1567" t="s">
        <v>8</v>
      </c>
      <c r="U14" s="1568">
        <f t="shared" si="1"/>
        <v>100</v>
      </c>
      <c r="V14" s="1567" t="s">
        <v>8</v>
      </c>
      <c r="W14" s="1568">
        <f t="shared" si="2"/>
        <v>100</v>
      </c>
      <c r="X14" s="1569"/>
      <c r="Y14" s="3315"/>
      <c r="Z14" s="1149">
        <f t="shared" si="7"/>
        <v>111</v>
      </c>
      <c r="AA14" s="1570">
        <f t="shared" si="3"/>
        <v>1</v>
      </c>
      <c r="AB14" s="1570">
        <f t="shared" si="4"/>
        <v>1</v>
      </c>
      <c r="AC14" s="1570">
        <f t="shared" si="5"/>
        <v>1</v>
      </c>
    </row>
    <row r="15" spans="1:29" ht="71.25">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3" t="s">
        <v>539</v>
      </c>
      <c r="Q15" s="1571" t="str">
        <f t="shared" si="6"/>
        <v>商业繁华度</v>
      </c>
      <c r="R15" s="1572" t="s">
        <v>8</v>
      </c>
      <c r="S15" s="1573">
        <f t="shared" si="0"/>
        <v>100</v>
      </c>
      <c r="T15" s="1572" t="s">
        <v>8</v>
      </c>
      <c r="U15" s="1573">
        <f t="shared" si="1"/>
        <v>100</v>
      </c>
      <c r="V15" s="1572" t="s">
        <v>8</v>
      </c>
      <c r="W15" s="1573">
        <f t="shared" si="2"/>
        <v>100</v>
      </c>
      <c r="X15" s="1566"/>
      <c r="Y15" s="3403"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4"/>
      <c r="Q16" s="1571"/>
      <c r="R16" s="1572"/>
      <c r="S16" s="1573"/>
      <c r="T16" s="1572"/>
      <c r="U16" s="1573"/>
      <c r="V16" s="1572"/>
      <c r="W16" s="1573"/>
      <c r="X16" s="1566"/>
      <c r="Y16" s="3404"/>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4"/>
      <c r="Q18" s="1571"/>
      <c r="R18" s="1572"/>
      <c r="S18" s="1573"/>
      <c r="T18" s="1572"/>
      <c r="U18" s="1573"/>
      <c r="V18" s="1572"/>
      <c r="W18" s="1573"/>
      <c r="X18" s="1566"/>
      <c r="Y18" s="3404"/>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04"/>
      <c r="Q20" s="1571"/>
      <c r="R20" s="1572"/>
      <c r="S20" s="1573"/>
      <c r="T20" s="1572"/>
      <c r="U20" s="1573"/>
      <c r="V20" s="1572"/>
      <c r="W20" s="1573"/>
      <c r="X20" s="1566"/>
      <c r="Y20" s="3404"/>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4"/>
      <c r="Q21" s="2579" t="str">
        <f>B21</f>
        <v>基础设施水平</v>
      </c>
      <c r="R21" s="1572" t="s">
        <v>8</v>
      </c>
      <c r="S21" s="1573">
        <f>F21</f>
        <v>100</v>
      </c>
      <c r="T21" s="1572" t="s">
        <v>8</v>
      </c>
      <c r="U21" s="1573">
        <f>H21</f>
        <v>100</v>
      </c>
      <c r="V21" s="1572" t="s">
        <v>8</v>
      </c>
      <c r="W21" s="1573">
        <f>J21</f>
        <v>100</v>
      </c>
      <c r="X21" s="2581"/>
      <c r="Y21" s="3404"/>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04"/>
      <c r="Q22" s="2579"/>
      <c r="R22" s="1572"/>
      <c r="S22" s="1573"/>
      <c r="T22" s="1572"/>
      <c r="U22" s="1573"/>
      <c r="V22" s="1572"/>
      <c r="W22" s="1573"/>
      <c r="X22" s="2581"/>
      <c r="Y22" s="3404"/>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4"/>
      <c r="Q23" s="1571" t="str">
        <f>B23</f>
        <v>自然及人文环境</v>
      </c>
      <c r="R23" s="1572" t="s">
        <v>8</v>
      </c>
      <c r="S23" s="1573">
        <f>F23</f>
        <v>100</v>
      </c>
      <c r="T23" s="1572" t="s">
        <v>8</v>
      </c>
      <c r="U23" s="1573">
        <f>H23</f>
        <v>100</v>
      </c>
      <c r="V23" s="1572" t="s">
        <v>8</v>
      </c>
      <c r="W23" s="1573">
        <f>J23</f>
        <v>100</v>
      </c>
      <c r="X23" s="1566"/>
      <c r="Y23" s="3404"/>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04"/>
      <c r="Q24" s="1571"/>
      <c r="R24" s="1572"/>
      <c r="S24" s="1573"/>
      <c r="T24" s="1572"/>
      <c r="U24" s="1573"/>
      <c r="V24" s="1572"/>
      <c r="W24" s="1573"/>
      <c r="X24" s="1566"/>
      <c r="Y24" s="3404"/>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4"/>
      <c r="Q25" s="1571" t="str">
        <f t="shared" ref="Q25:Q46" si="11">B25</f>
        <v>临街状况</v>
      </c>
      <c r="R25" s="1572" t="s">
        <v>8</v>
      </c>
      <c r="S25" s="1573">
        <f>F25</f>
        <v>100</v>
      </c>
      <c r="T25" s="1572" t="s">
        <v>8</v>
      </c>
      <c r="U25" s="1573">
        <f>H25</f>
        <v>100</v>
      </c>
      <c r="V25" s="1572" t="s">
        <v>8</v>
      </c>
      <c r="W25" s="1573">
        <f>J25</f>
        <v>100</v>
      </c>
      <c r="X25" s="1566"/>
      <c r="Y25" s="3404"/>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4"/>
      <c r="Q26" s="1571" t="str">
        <f t="shared" si="11"/>
        <v>平面位置/可视性</v>
      </c>
      <c r="R26" s="1572" t="s">
        <v>8</v>
      </c>
      <c r="S26" s="1573">
        <f>F26</f>
        <v>100</v>
      </c>
      <c r="T26" s="1572" t="s">
        <v>8</v>
      </c>
      <c r="U26" s="1573">
        <f>H26</f>
        <v>100</v>
      </c>
      <c r="V26" s="1572" t="s">
        <v>8</v>
      </c>
      <c r="W26" s="1573">
        <f>J26</f>
        <v>100</v>
      </c>
      <c r="X26" s="1566"/>
      <c r="Y26" s="3404"/>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4"/>
      <c r="Q27" s="1150" t="str">
        <f t="shared" si="11"/>
        <v>人流量</v>
      </c>
      <c r="R27" s="1567" t="s">
        <v>8</v>
      </c>
      <c r="S27" s="1568">
        <f>F27</f>
        <v>100</v>
      </c>
      <c r="T27" s="1567" t="s">
        <v>8</v>
      </c>
      <c r="U27" s="1568">
        <f>H27</f>
        <v>100</v>
      </c>
      <c r="V27" s="1567" t="s">
        <v>8</v>
      </c>
      <c r="W27" s="1568">
        <f>J27</f>
        <v>100</v>
      </c>
      <c r="X27" s="1569"/>
      <c r="Y27" s="3404"/>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4"/>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4"/>
      <c r="Q29" s="1571">
        <f t="shared" si="11"/>
        <v>111</v>
      </c>
      <c r="R29" s="1572" t="s">
        <v>8</v>
      </c>
      <c r="S29" s="1573">
        <f t="shared" si="12"/>
        <v>100</v>
      </c>
      <c r="T29" s="1572" t="s">
        <v>8</v>
      </c>
      <c r="U29" s="1573">
        <f t="shared" si="13"/>
        <v>100</v>
      </c>
      <c r="V29" s="1572" t="s">
        <v>8</v>
      </c>
      <c r="W29" s="1573">
        <f t="shared" si="14"/>
        <v>100</v>
      </c>
      <c r="X29" s="1566"/>
      <c r="Y29" s="3404"/>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4"/>
      <c r="Q30" s="1571">
        <f t="shared" si="11"/>
        <v>111</v>
      </c>
      <c r="R30" s="1572" t="s">
        <v>8</v>
      </c>
      <c r="S30" s="1573">
        <f t="shared" si="12"/>
        <v>100</v>
      </c>
      <c r="T30" s="1572" t="s">
        <v>8</v>
      </c>
      <c r="U30" s="1573">
        <f t="shared" si="13"/>
        <v>100</v>
      </c>
      <c r="V30" s="1572" t="s">
        <v>8</v>
      </c>
      <c r="W30" s="1573">
        <f t="shared" si="14"/>
        <v>100</v>
      </c>
      <c r="X30" s="1566"/>
      <c r="Y30" s="3404"/>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4"/>
      <c r="Q31" s="1571">
        <f t="shared" si="11"/>
        <v>111</v>
      </c>
      <c r="R31" s="1572" t="s">
        <v>8</v>
      </c>
      <c r="S31" s="1573">
        <f t="shared" si="12"/>
        <v>100</v>
      </c>
      <c r="T31" s="1572" t="s">
        <v>8</v>
      </c>
      <c r="U31" s="1573">
        <f t="shared" si="13"/>
        <v>100</v>
      </c>
      <c r="V31" s="1572" t="s">
        <v>8</v>
      </c>
      <c r="W31" s="1573">
        <f t="shared" si="14"/>
        <v>100</v>
      </c>
      <c r="X31" s="1566"/>
      <c r="Y31" s="3404"/>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5" t="s">
        <v>549</v>
      </c>
      <c r="Q32" s="1571" t="str">
        <f t="shared" si="11"/>
        <v>商业类型</v>
      </c>
      <c r="R32" s="1572" t="s">
        <v>8</v>
      </c>
      <c r="S32" s="1573">
        <f t="shared" si="12"/>
        <v>100</v>
      </c>
      <c r="T32" s="1572" t="s">
        <v>8</v>
      </c>
      <c r="U32" s="1573">
        <f t="shared" si="13"/>
        <v>100</v>
      </c>
      <c r="V32" s="1572" t="s">
        <v>8</v>
      </c>
      <c r="W32" s="1573">
        <f t="shared" si="14"/>
        <v>100</v>
      </c>
      <c r="X32" s="1566"/>
      <c r="Y32" s="3406"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6"/>
      <c r="Q33" s="1604" t="str">
        <f t="shared" si="11"/>
        <v>项目建筑规模</v>
      </c>
      <c r="R33" s="1576" t="s">
        <v>8</v>
      </c>
      <c r="S33" s="1577" t="e">
        <f t="shared" si="12"/>
        <v>#N/A</v>
      </c>
      <c r="T33" s="1576" t="s">
        <v>8</v>
      </c>
      <c r="U33" s="1577" t="e">
        <f t="shared" si="13"/>
        <v>#N/A</v>
      </c>
      <c r="V33" s="1576" t="s">
        <v>8</v>
      </c>
      <c r="W33" s="1577" t="e">
        <f t="shared" si="14"/>
        <v>#N/A</v>
      </c>
      <c r="X33" s="1578"/>
      <c r="Y33" s="3406"/>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6"/>
      <c r="Q34" s="1571" t="str">
        <f t="shared" si="11"/>
        <v>建筑结构</v>
      </c>
      <c r="R34" s="1572" t="s">
        <v>8</v>
      </c>
      <c r="S34" s="1573">
        <f t="shared" si="12"/>
        <v>100</v>
      </c>
      <c r="T34" s="1572" t="s">
        <v>8</v>
      </c>
      <c r="U34" s="1573">
        <f t="shared" si="13"/>
        <v>100</v>
      </c>
      <c r="V34" s="1572" t="s">
        <v>8</v>
      </c>
      <c r="W34" s="1573">
        <f t="shared" si="14"/>
        <v>100</v>
      </c>
      <c r="X34" s="1566"/>
      <c r="Y34" s="3406"/>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6"/>
      <c r="Q35" s="1571" t="str">
        <f t="shared" si="11"/>
        <v>公共部分装修</v>
      </c>
      <c r="R35" s="1572" t="s">
        <v>8</v>
      </c>
      <c r="S35" s="1573">
        <f t="shared" si="12"/>
        <v>100</v>
      </c>
      <c r="T35" s="1572" t="s">
        <v>8</v>
      </c>
      <c r="U35" s="1573">
        <f t="shared" si="13"/>
        <v>100</v>
      </c>
      <c r="V35" s="1572" t="s">
        <v>8</v>
      </c>
      <c r="W35" s="1573">
        <f t="shared" si="14"/>
        <v>100</v>
      </c>
      <c r="X35" s="1566"/>
      <c r="Y35" s="3406"/>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6"/>
      <c r="Q36" s="1571" t="str">
        <f t="shared" si="11"/>
        <v>成新度</v>
      </c>
      <c r="R36" s="1572" t="s">
        <v>8</v>
      </c>
      <c r="S36" s="1573" t="e">
        <f t="shared" si="12"/>
        <v>#N/A</v>
      </c>
      <c r="T36" s="1572" t="s">
        <v>8</v>
      </c>
      <c r="U36" s="1573" t="e">
        <f t="shared" si="13"/>
        <v>#N/A</v>
      </c>
      <c r="V36" s="1572" t="s">
        <v>8</v>
      </c>
      <c r="W36" s="1573" t="e">
        <f t="shared" si="14"/>
        <v>#N/A</v>
      </c>
      <c r="X36" s="1566"/>
      <c r="Y36" s="3406"/>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6"/>
      <c r="Q37" s="1150" t="str">
        <f t="shared" si="11"/>
        <v>市政基础设施</v>
      </c>
      <c r="R37" s="1567" t="s">
        <v>8</v>
      </c>
      <c r="S37" s="1568">
        <f t="shared" si="12"/>
        <v>100</v>
      </c>
      <c r="T37" s="1567" t="s">
        <v>8</v>
      </c>
      <c r="U37" s="1568">
        <f t="shared" si="13"/>
        <v>100</v>
      </c>
      <c r="V37" s="1567" t="s">
        <v>8</v>
      </c>
      <c r="W37" s="1568">
        <f t="shared" si="14"/>
        <v>100</v>
      </c>
      <c r="X37" s="1569"/>
      <c r="Y37" s="3406"/>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6" t="s">
        <v>765</v>
      </c>
      <c r="Q38" s="1571" t="str">
        <f t="shared" si="11"/>
        <v>业态</v>
      </c>
      <c r="R38" s="1572" t="s">
        <v>8</v>
      </c>
      <c r="S38" s="1573">
        <f t="shared" si="12"/>
        <v>100</v>
      </c>
      <c r="T38" s="1572" t="s">
        <v>8</v>
      </c>
      <c r="U38" s="1573">
        <f t="shared" si="13"/>
        <v>100</v>
      </c>
      <c r="V38" s="1572" t="s">
        <v>8</v>
      </c>
      <c r="W38" s="1573">
        <f t="shared" si="14"/>
        <v>100</v>
      </c>
      <c r="X38" s="1566"/>
      <c r="Y38" s="3406"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6"/>
      <c r="Q39" s="1571" t="str">
        <f t="shared" si="11"/>
        <v>层高</v>
      </c>
      <c r="R39" s="1572" t="s">
        <v>8</v>
      </c>
      <c r="S39" s="1573">
        <f t="shared" si="12"/>
        <v>100</v>
      </c>
      <c r="T39" s="1572" t="s">
        <v>8</v>
      </c>
      <c r="U39" s="1573">
        <f t="shared" si="13"/>
        <v>100</v>
      </c>
      <c r="V39" s="1572" t="s">
        <v>8</v>
      </c>
      <c r="W39" s="1573">
        <f t="shared" si="14"/>
        <v>100</v>
      </c>
      <c r="X39" s="1566"/>
      <c r="Y39" s="3406"/>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6"/>
      <c r="Q40" s="1571" t="str">
        <f t="shared" si="11"/>
        <v>单套建筑面积</v>
      </c>
      <c r="R40" s="1572" t="s">
        <v>8</v>
      </c>
      <c r="S40" s="1573">
        <f t="shared" si="12"/>
        <v>100</v>
      </c>
      <c r="T40" s="1572" t="s">
        <v>8</v>
      </c>
      <c r="U40" s="1573">
        <f t="shared" si="13"/>
        <v>100</v>
      </c>
      <c r="V40" s="1572" t="s">
        <v>8</v>
      </c>
      <c r="W40" s="1573">
        <f t="shared" si="14"/>
        <v>100</v>
      </c>
      <c r="X40" s="1566"/>
      <c r="Y40" s="3406"/>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6"/>
      <c r="Q41" s="1604" t="str">
        <f t="shared" si="11"/>
        <v>进深比</v>
      </c>
      <c r="R41" s="1576" t="s">
        <v>8</v>
      </c>
      <c r="S41" s="1577">
        <f t="shared" si="12"/>
        <v>100</v>
      </c>
      <c r="T41" s="1576" t="s">
        <v>8</v>
      </c>
      <c r="U41" s="1577">
        <f t="shared" si="13"/>
        <v>100</v>
      </c>
      <c r="V41" s="1576" t="s">
        <v>8</v>
      </c>
      <c r="W41" s="1577">
        <f t="shared" si="14"/>
        <v>100</v>
      </c>
      <c r="X41" s="1578"/>
      <c r="Y41" s="3406"/>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6"/>
      <c r="Q42" s="1571" t="str">
        <f t="shared" si="11"/>
        <v>内部装修</v>
      </c>
      <c r="R42" s="1572" t="s">
        <v>8</v>
      </c>
      <c r="S42" s="1573">
        <f t="shared" si="12"/>
        <v>100</v>
      </c>
      <c r="T42" s="1572" t="s">
        <v>8</v>
      </c>
      <c r="U42" s="1573">
        <f t="shared" si="13"/>
        <v>100</v>
      </c>
      <c r="V42" s="1572" t="s">
        <v>8</v>
      </c>
      <c r="W42" s="1573">
        <f t="shared" si="14"/>
        <v>100</v>
      </c>
      <c r="X42" s="1566"/>
      <c r="Y42" s="3406"/>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6"/>
      <c r="Q43" s="1571" t="str">
        <f t="shared" si="11"/>
        <v>内部装修维护情况</v>
      </c>
      <c r="R43" s="1572" t="s">
        <v>8</v>
      </c>
      <c r="S43" s="1573">
        <f t="shared" si="12"/>
        <v>100</v>
      </c>
      <c r="T43" s="1572" t="s">
        <v>8</v>
      </c>
      <c r="U43" s="1573">
        <f t="shared" si="13"/>
        <v>100</v>
      </c>
      <c r="V43" s="1572" t="s">
        <v>8</v>
      </c>
      <c r="W43" s="1573">
        <f t="shared" si="14"/>
        <v>100</v>
      </c>
      <c r="X43" s="1566"/>
      <c r="Y43" s="3406"/>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6"/>
      <c r="Q44" s="1150">
        <f t="shared" si="11"/>
        <v>111</v>
      </c>
      <c r="R44" s="1567" t="s">
        <v>8</v>
      </c>
      <c r="S44" s="1568">
        <f t="shared" si="12"/>
        <v>100</v>
      </c>
      <c r="T44" s="1567" t="s">
        <v>8</v>
      </c>
      <c r="U44" s="1568">
        <f t="shared" si="13"/>
        <v>100</v>
      </c>
      <c r="V44" s="1567" t="s">
        <v>8</v>
      </c>
      <c r="W44" s="1568">
        <f t="shared" si="14"/>
        <v>100</v>
      </c>
      <c r="X44" s="1569"/>
      <c r="Y44" s="3406"/>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6"/>
      <c r="Q45" s="1571">
        <f t="shared" si="11"/>
        <v>111</v>
      </c>
      <c r="R45" s="1572" t="s">
        <v>8</v>
      </c>
      <c r="S45" s="1573">
        <f t="shared" si="12"/>
        <v>100</v>
      </c>
      <c r="T45" s="1572" t="s">
        <v>8</v>
      </c>
      <c r="U45" s="1573">
        <f t="shared" si="13"/>
        <v>100</v>
      </c>
      <c r="V45" s="1572" t="s">
        <v>8</v>
      </c>
      <c r="W45" s="1573">
        <f t="shared" si="14"/>
        <v>100</v>
      </c>
      <c r="X45" s="1566"/>
      <c r="Y45" s="3406"/>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4"/>
      <c r="Q46" s="1571">
        <f t="shared" si="11"/>
        <v>111</v>
      </c>
      <c r="R46" s="1572" t="s">
        <v>8</v>
      </c>
      <c r="S46" s="1573">
        <f t="shared" si="12"/>
        <v>100</v>
      </c>
      <c r="T46" s="1572" t="s">
        <v>8</v>
      </c>
      <c r="U46" s="1573">
        <f t="shared" si="13"/>
        <v>100</v>
      </c>
      <c r="V46" s="1572" t="s">
        <v>8</v>
      </c>
      <c r="W46" s="1573">
        <f t="shared" si="14"/>
        <v>100</v>
      </c>
      <c r="X46" s="1566"/>
      <c r="Y46" s="3484"/>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369" t="str">
        <f>A47</f>
        <v>成交单价（元/平方米）</v>
      </c>
      <c r="Q47" s="3369"/>
      <c r="R47" s="3483">
        <f>E47</f>
        <v>0</v>
      </c>
      <c r="S47" s="3483"/>
      <c r="T47" s="3483">
        <f>G47</f>
        <v>0</v>
      </c>
      <c r="U47" s="3483"/>
      <c r="V47" s="3483">
        <f>I47</f>
        <v>0</v>
      </c>
      <c r="W47" s="3483"/>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369" t="str">
        <f>A48</f>
        <v>比较价格（元/平方米）</v>
      </c>
      <c r="Q48" s="336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58"/>
      <c r="Y48" s="1558"/>
      <c r="Z48" s="1558"/>
      <c r="AA48" s="1558"/>
      <c r="AB48" s="1558"/>
      <c r="AC48" s="1558"/>
    </row>
    <row r="49" spans="1:29" ht="15.75" thickBot="1">
      <c r="A49" s="621" t="s">
        <v>2939</v>
      </c>
      <c r="B49" s="622"/>
      <c r="C49" s="2636" t="e">
        <f>R49</f>
        <v>#DIV/0!</v>
      </c>
      <c r="D49" s="2636"/>
      <c r="E49" s="2636"/>
      <c r="F49" s="2636"/>
      <c r="G49" s="2636"/>
      <c r="H49" s="2636"/>
      <c r="I49" s="2636"/>
      <c r="J49" s="2636"/>
      <c r="K49" s="1612"/>
      <c r="L49" s="2144"/>
      <c r="M49" s="2145"/>
      <c r="N49" s="2134"/>
      <c r="O49" s="2145"/>
      <c r="P49" s="3366" t="str">
        <f>A49</f>
        <v>估价对象XX用房的比较价格（楼面单价，元/平方米）</v>
      </c>
      <c r="Q49" s="3367"/>
      <c r="R49" s="3482" t="e">
        <f>IF(F1="售价",ROUND(AVERAGE(R48:V48),0),ROUND(AVERAGE(R48:V48),1))</f>
        <v>#DIV/0!</v>
      </c>
      <c r="S49" s="3482"/>
      <c r="T49" s="3482"/>
      <c r="U49" s="3482"/>
      <c r="V49" s="3482"/>
      <c r="W49" s="348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375" t="s">
        <v>521</v>
      </c>
      <c r="D4" s="3376"/>
      <c r="E4" s="3410" t="s">
        <v>522</v>
      </c>
      <c r="F4" s="3411"/>
      <c r="G4" s="3375" t="s">
        <v>523</v>
      </c>
      <c r="H4" s="3376"/>
      <c r="I4" s="3375" t="s">
        <v>524</v>
      </c>
      <c r="J4" s="3376"/>
      <c r="K4" s="514" t="s">
        <v>525</v>
      </c>
      <c r="L4" s="2133"/>
      <c r="M4" s="2134"/>
      <c r="N4" s="2134"/>
      <c r="O4" s="2134"/>
      <c r="P4" s="3487" t="s">
        <v>526</v>
      </c>
      <c r="Q4" s="3378"/>
      <c r="R4" s="3383" t="s">
        <v>522</v>
      </c>
      <c r="S4" s="3384"/>
      <c r="T4" s="3383" t="s">
        <v>523</v>
      </c>
      <c r="U4" s="3384"/>
      <c r="V4" s="3370" t="s">
        <v>524</v>
      </c>
      <c r="W4" s="3370"/>
      <c r="X4" s="1566"/>
      <c r="Y4" s="3383" t="s">
        <v>526</v>
      </c>
      <c r="Z4" s="3384"/>
      <c r="AA4" s="3372" t="s">
        <v>522</v>
      </c>
      <c r="AB4" s="3372" t="s">
        <v>523</v>
      </c>
      <c r="AC4" s="3372" t="s">
        <v>524</v>
      </c>
    </row>
    <row r="5" spans="1:29" ht="15">
      <c r="A5" s="515"/>
      <c r="B5" s="516"/>
      <c r="C5" s="3407" t="s">
        <v>2933</v>
      </c>
      <c r="D5" s="3392"/>
      <c r="E5" s="3412" t="s">
        <v>2934</v>
      </c>
      <c r="F5" s="3413"/>
      <c r="G5" s="3407" t="s">
        <v>2935</v>
      </c>
      <c r="H5" s="3392"/>
      <c r="I5" s="3407" t="s">
        <v>2936</v>
      </c>
      <c r="J5" s="3392"/>
      <c r="K5" s="514"/>
      <c r="L5" s="2133"/>
      <c r="M5" s="2134"/>
      <c r="N5" s="2134"/>
      <c r="O5" s="2134"/>
      <c r="P5" s="3488"/>
      <c r="Q5" s="3380"/>
      <c r="R5" s="3385"/>
      <c r="S5" s="3386"/>
      <c r="T5" s="3385"/>
      <c r="U5" s="3386"/>
      <c r="V5" s="3370"/>
      <c r="W5" s="3370"/>
      <c r="X5" s="1566"/>
      <c r="Y5" s="3385"/>
      <c r="Z5" s="3386"/>
      <c r="AA5" s="3373"/>
      <c r="AB5" s="3373"/>
      <c r="AC5" s="3373"/>
    </row>
    <row r="6" spans="1:29" ht="15.75" thickBot="1">
      <c r="A6" s="517"/>
      <c r="B6" s="518"/>
      <c r="C6" s="3389" t="s">
        <v>2937</v>
      </c>
      <c r="D6" s="3390"/>
      <c r="E6" s="3408" t="s">
        <v>2937</v>
      </c>
      <c r="F6" s="3409"/>
      <c r="G6" s="3389" t="s">
        <v>2937</v>
      </c>
      <c r="H6" s="3390"/>
      <c r="I6" s="3389" t="s">
        <v>2937</v>
      </c>
      <c r="J6" s="3390"/>
      <c r="K6" s="514" t="s">
        <v>527</v>
      </c>
      <c r="L6" s="2133"/>
      <c r="M6" s="2134"/>
      <c r="N6" s="2134"/>
      <c r="O6" s="2134"/>
      <c r="P6" s="3489"/>
      <c r="Q6" s="3382"/>
      <c r="R6" s="3385"/>
      <c r="S6" s="3386"/>
      <c r="T6" s="3387"/>
      <c r="U6" s="3388"/>
      <c r="V6" s="3370"/>
      <c r="W6" s="3370"/>
      <c r="X6" s="1566"/>
      <c r="Y6" s="3387"/>
      <c r="Z6" s="3388"/>
      <c r="AA6" s="3374"/>
      <c r="AB6" s="3374"/>
      <c r="AC6" s="3374"/>
    </row>
    <row r="7" spans="1:29" s="1219" customFormat="1" ht="15.75" thickBot="1">
      <c r="A7" s="2912"/>
      <c r="B7" s="2919" t="s">
        <v>528</v>
      </c>
      <c r="C7" s="519">
        <f>'数据-取费表'!B2</f>
        <v>43334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2" t="s">
        <v>529</v>
      </c>
      <c r="Q7" s="3402"/>
      <c r="R7" s="1567" t="s">
        <v>8</v>
      </c>
      <c r="S7" s="1568">
        <f t="shared" ref="S7:S15" si="0">F7</f>
        <v>0</v>
      </c>
      <c r="T7" s="1567" t="s">
        <v>8</v>
      </c>
      <c r="U7" s="1568">
        <f t="shared" ref="U7:U15" si="1">H7</f>
        <v>0</v>
      </c>
      <c r="V7" s="1567" t="s">
        <v>8</v>
      </c>
      <c r="W7" s="1568">
        <f t="shared" ref="W7:W15" si="2">J7</f>
        <v>0</v>
      </c>
      <c r="X7" s="1569"/>
      <c r="Y7" s="3400" t="s">
        <v>529</v>
      </c>
      <c r="Z7" s="3401"/>
      <c r="AA7" s="1570" t="e">
        <f>D7/F7</f>
        <v>#DIV/0!</v>
      </c>
      <c r="AB7" s="1570" t="e">
        <f>D7/H7</f>
        <v>#DIV/0!</v>
      </c>
      <c r="AC7" s="1570" t="e">
        <f>D7/J7</f>
        <v>#DIV/0!</v>
      </c>
    </row>
    <row r="8" spans="1:29" s="1219"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2" t="s">
        <v>532</v>
      </c>
      <c r="Q8" s="3401"/>
      <c r="R8" s="1567" t="s">
        <v>8</v>
      </c>
      <c r="S8" s="1568">
        <f t="shared" si="0"/>
        <v>0</v>
      </c>
      <c r="T8" s="1567" t="s">
        <v>8</v>
      </c>
      <c r="U8" s="1568">
        <f t="shared" si="1"/>
        <v>0</v>
      </c>
      <c r="V8" s="1567" t="s">
        <v>8</v>
      </c>
      <c r="W8" s="1568">
        <f t="shared" si="2"/>
        <v>0</v>
      </c>
      <c r="X8" s="1569"/>
      <c r="Y8" s="3400" t="s">
        <v>532</v>
      </c>
      <c r="Z8" s="3401"/>
      <c r="AA8" s="1570" t="e">
        <f t="shared" ref="AA8:AA47" si="3">D8/F8</f>
        <v>#DIV/0!</v>
      </c>
      <c r="AB8" s="1570" t="e">
        <f t="shared" ref="AB8:AB47" si="4">D8/H8</f>
        <v>#DIV/0!</v>
      </c>
      <c r="AC8" s="1570" t="e">
        <f t="shared" ref="AC8:AC47" si="5">D8/J8</f>
        <v>#DIV/0!</v>
      </c>
    </row>
    <row r="9" spans="1:29" s="1219"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9" t="s">
        <v>534</v>
      </c>
      <c r="Q9" s="1150" t="str">
        <f t="shared" ref="Q9:Q15" si="6">B9</f>
        <v>用途</v>
      </c>
      <c r="R9" s="1567" t="s">
        <v>8</v>
      </c>
      <c r="S9" s="1568">
        <f t="shared" si="0"/>
        <v>100</v>
      </c>
      <c r="T9" s="1567" t="s">
        <v>8</v>
      </c>
      <c r="U9" s="1568">
        <f t="shared" si="1"/>
        <v>100</v>
      </c>
      <c r="V9" s="1567" t="s">
        <v>8</v>
      </c>
      <c r="W9" s="1568">
        <f t="shared" si="2"/>
        <v>100</v>
      </c>
      <c r="X9" s="1569"/>
      <c r="Y9" s="3315"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9"/>
      <c r="Q10" s="1150" t="str">
        <f t="shared" si="6"/>
        <v>土地使用年限（年）</v>
      </c>
      <c r="R10" s="1567" t="s">
        <v>8</v>
      </c>
      <c r="S10" s="1568">
        <f t="shared" si="0"/>
        <v>100</v>
      </c>
      <c r="T10" s="1567" t="s">
        <v>8</v>
      </c>
      <c r="U10" s="1568">
        <f t="shared" si="1"/>
        <v>100</v>
      </c>
      <c r="V10" s="1567" t="s">
        <v>8</v>
      </c>
      <c r="W10" s="1568">
        <f t="shared" si="2"/>
        <v>100</v>
      </c>
      <c r="X10" s="1569"/>
      <c r="Y10" s="3315"/>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9"/>
      <c r="Q11" s="1150" t="str">
        <f t="shared" si="6"/>
        <v>容积率</v>
      </c>
      <c r="R11" s="1567" t="s">
        <v>8</v>
      </c>
      <c r="S11" s="1568" t="e">
        <f t="shared" si="0"/>
        <v>#N/A</v>
      </c>
      <c r="T11" s="1567" t="s">
        <v>8</v>
      </c>
      <c r="U11" s="1568" t="e">
        <f t="shared" si="1"/>
        <v>#N/A</v>
      </c>
      <c r="V11" s="1567" t="s">
        <v>8</v>
      </c>
      <c r="W11" s="1568" t="e">
        <f t="shared" si="2"/>
        <v>#N/A</v>
      </c>
      <c r="X11" s="1569"/>
      <c r="Y11" s="3315"/>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9"/>
      <c r="Q12" s="1150">
        <f t="shared" si="6"/>
        <v>111</v>
      </c>
      <c r="R12" s="1567" t="s">
        <v>8</v>
      </c>
      <c r="S12" s="1568">
        <f t="shared" si="0"/>
        <v>100</v>
      </c>
      <c r="T12" s="1567" t="s">
        <v>8</v>
      </c>
      <c r="U12" s="1568">
        <f t="shared" si="1"/>
        <v>100</v>
      </c>
      <c r="V12" s="1567" t="s">
        <v>8</v>
      </c>
      <c r="W12" s="1568">
        <f t="shared" si="2"/>
        <v>100</v>
      </c>
      <c r="X12" s="1569"/>
      <c r="Y12" s="3315"/>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9"/>
      <c r="Q13" s="1150">
        <f t="shared" si="6"/>
        <v>111</v>
      </c>
      <c r="R13" s="1567" t="s">
        <v>8</v>
      </c>
      <c r="S13" s="1568">
        <f t="shared" si="0"/>
        <v>100</v>
      </c>
      <c r="T13" s="1567" t="s">
        <v>8</v>
      </c>
      <c r="U13" s="1568">
        <f t="shared" si="1"/>
        <v>100</v>
      </c>
      <c r="V13" s="1567" t="s">
        <v>8</v>
      </c>
      <c r="W13" s="1568">
        <f t="shared" si="2"/>
        <v>100</v>
      </c>
      <c r="X13" s="1569"/>
      <c r="Y13" s="3315"/>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9"/>
      <c r="Q14" s="1150">
        <f t="shared" si="6"/>
        <v>111</v>
      </c>
      <c r="R14" s="1567" t="s">
        <v>8</v>
      </c>
      <c r="S14" s="1568">
        <f t="shared" si="0"/>
        <v>100</v>
      </c>
      <c r="T14" s="1567" t="s">
        <v>8</v>
      </c>
      <c r="U14" s="1568">
        <f t="shared" si="1"/>
        <v>100</v>
      </c>
      <c r="V14" s="1567" t="s">
        <v>8</v>
      </c>
      <c r="W14" s="1568">
        <f t="shared" si="2"/>
        <v>100</v>
      </c>
      <c r="X14" s="1569"/>
      <c r="Y14" s="3315"/>
      <c r="Z14" s="1149">
        <f t="shared" si="7"/>
        <v>111</v>
      </c>
      <c r="AA14" s="1570">
        <f t="shared" si="3"/>
        <v>1</v>
      </c>
      <c r="AB14" s="1570">
        <f t="shared" si="4"/>
        <v>1</v>
      </c>
      <c r="AC14" s="1570">
        <f t="shared" si="5"/>
        <v>1</v>
      </c>
    </row>
    <row r="15" spans="1:29" ht="71.25">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3" t="s">
        <v>539</v>
      </c>
      <c r="Q15" s="1571" t="str">
        <f t="shared" si="6"/>
        <v>办公集聚程度</v>
      </c>
      <c r="R15" s="1572" t="s">
        <v>8</v>
      </c>
      <c r="S15" s="1573">
        <f t="shared" si="0"/>
        <v>100</v>
      </c>
      <c r="T15" s="1572" t="s">
        <v>8</v>
      </c>
      <c r="U15" s="1573">
        <f t="shared" si="1"/>
        <v>100</v>
      </c>
      <c r="V15" s="1572" t="s">
        <v>8</v>
      </c>
      <c r="W15" s="1573">
        <f t="shared" si="2"/>
        <v>100</v>
      </c>
      <c r="X15" s="1566"/>
      <c r="Y15" s="3403"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04"/>
      <c r="Q16" s="1571"/>
      <c r="R16" s="1572"/>
      <c r="S16" s="1573"/>
      <c r="T16" s="1572"/>
      <c r="U16" s="1573"/>
      <c r="V16" s="1572"/>
      <c r="W16" s="1573"/>
      <c r="X16" s="1566"/>
      <c r="Y16" s="3404"/>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04"/>
      <c r="Q18" s="1571"/>
      <c r="R18" s="1572"/>
      <c r="S18" s="1573"/>
      <c r="T18" s="1572"/>
      <c r="U18" s="1573"/>
      <c r="V18" s="1572"/>
      <c r="W18" s="1573"/>
      <c r="X18" s="1566"/>
      <c r="Y18" s="3404"/>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04"/>
      <c r="Q20" s="1571"/>
      <c r="R20" s="1572"/>
      <c r="S20" s="1573"/>
      <c r="T20" s="1572"/>
      <c r="U20" s="1573"/>
      <c r="V20" s="1572"/>
      <c r="W20" s="1573"/>
      <c r="X20" s="1566"/>
      <c r="Y20" s="3404"/>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4"/>
      <c r="Q21" s="2579" t="str">
        <f>B21</f>
        <v>基础设施水平</v>
      </c>
      <c r="R21" s="1572" t="s">
        <v>8</v>
      </c>
      <c r="S21" s="1573">
        <f>F21</f>
        <v>100</v>
      </c>
      <c r="T21" s="1572" t="s">
        <v>8</v>
      </c>
      <c r="U21" s="1573">
        <f>H21</f>
        <v>100</v>
      </c>
      <c r="V21" s="1572" t="s">
        <v>8</v>
      </c>
      <c r="W21" s="1573">
        <f>J21</f>
        <v>100</v>
      </c>
      <c r="X21" s="2581"/>
      <c r="Y21" s="3404"/>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04"/>
      <c r="Q22" s="2579"/>
      <c r="R22" s="1572"/>
      <c r="S22" s="1573"/>
      <c r="T22" s="1572"/>
      <c r="U22" s="1573"/>
      <c r="V22" s="1572"/>
      <c r="W22" s="1573"/>
      <c r="X22" s="2581"/>
      <c r="Y22" s="3404"/>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4"/>
      <c r="Q23" s="1571" t="str">
        <f>B23</f>
        <v>环境质量</v>
      </c>
      <c r="R23" s="1572" t="s">
        <v>8</v>
      </c>
      <c r="S23" s="1573">
        <f>F23</f>
        <v>100</v>
      </c>
      <c r="T23" s="1572" t="s">
        <v>8</v>
      </c>
      <c r="U23" s="1573">
        <f>H23</f>
        <v>100</v>
      </c>
      <c r="V23" s="1572" t="s">
        <v>8</v>
      </c>
      <c r="W23" s="1573">
        <f>J23</f>
        <v>100</v>
      </c>
      <c r="X23" s="1566"/>
      <c r="Y23" s="3404"/>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04"/>
      <c r="Q24" s="1571"/>
      <c r="R24" s="1572"/>
      <c r="S24" s="1573"/>
      <c r="T24" s="1572"/>
      <c r="U24" s="1573"/>
      <c r="V24" s="1572"/>
      <c r="W24" s="1573"/>
      <c r="X24" s="1566"/>
      <c r="Y24" s="3404"/>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4"/>
      <c r="Q25" s="1571" t="str">
        <f>B25</f>
        <v>毗邻道路的类型与等级</v>
      </c>
      <c r="R25" s="1572" t="s">
        <v>8</v>
      </c>
      <c r="S25" s="1573">
        <f>F25</f>
        <v>100</v>
      </c>
      <c r="T25" s="1572" t="s">
        <v>8</v>
      </c>
      <c r="U25" s="1573">
        <f>H25</f>
        <v>100</v>
      </c>
      <c r="V25" s="1572" t="s">
        <v>8</v>
      </c>
      <c r="W25" s="1573">
        <f>J25</f>
        <v>100</v>
      </c>
      <c r="X25" s="1566"/>
      <c r="Y25" s="3404"/>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04"/>
      <c r="Q26" s="1571"/>
      <c r="R26" s="1572"/>
      <c r="S26" s="1573"/>
      <c r="T26" s="1572"/>
      <c r="U26" s="1573"/>
      <c r="V26" s="1572"/>
      <c r="W26" s="1573"/>
      <c r="X26" s="1566"/>
      <c r="Y26" s="3404"/>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4"/>
      <c r="Q27" s="1571" t="str">
        <f t="shared" ref="Q27:Q47" si="11">B27</f>
        <v>楼层</v>
      </c>
      <c r="R27" s="1572" t="s">
        <v>8</v>
      </c>
      <c r="S27" s="1573">
        <f>F27</f>
        <v>100</v>
      </c>
      <c r="T27" s="1572" t="s">
        <v>8</v>
      </c>
      <c r="U27" s="1573">
        <f>H27</f>
        <v>100</v>
      </c>
      <c r="V27" s="1572" t="s">
        <v>8</v>
      </c>
      <c r="W27" s="1573">
        <f>J27</f>
        <v>100</v>
      </c>
      <c r="X27" s="1566"/>
      <c r="Y27" s="3404"/>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4"/>
      <c r="Q28" s="1150" t="str">
        <f t="shared" si="11"/>
        <v>朝向</v>
      </c>
      <c r="R28" s="1567" t="s">
        <v>8</v>
      </c>
      <c r="S28" s="1568">
        <f>F28</f>
        <v>100</v>
      </c>
      <c r="T28" s="1567" t="s">
        <v>8</v>
      </c>
      <c r="U28" s="1568">
        <f>H28</f>
        <v>100</v>
      </c>
      <c r="V28" s="1567" t="s">
        <v>8</v>
      </c>
      <c r="W28" s="1568">
        <f>J28</f>
        <v>100</v>
      </c>
      <c r="X28" s="1569"/>
      <c r="Y28" s="3404"/>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4"/>
      <c r="Q29" s="1571">
        <f t="shared" si="11"/>
        <v>111</v>
      </c>
      <c r="R29" s="1572" t="s">
        <v>8</v>
      </c>
      <c r="S29" s="1573">
        <f t="shared" ref="S29:S47" si="12">F29</f>
        <v>100</v>
      </c>
      <c r="T29" s="1572" t="s">
        <v>8</v>
      </c>
      <c r="U29" s="1573">
        <f t="shared" ref="U29:U47" si="13">H29</f>
        <v>100</v>
      </c>
      <c r="V29" s="1572" t="s">
        <v>8</v>
      </c>
      <c r="W29" s="1573">
        <f t="shared" ref="W29:W47" si="14">J29</f>
        <v>100</v>
      </c>
      <c r="X29" s="1566"/>
      <c r="Y29" s="3404"/>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4"/>
      <c r="Q30" s="1571">
        <f t="shared" si="11"/>
        <v>111</v>
      </c>
      <c r="R30" s="1572" t="s">
        <v>8</v>
      </c>
      <c r="S30" s="1573">
        <f t="shared" si="12"/>
        <v>100</v>
      </c>
      <c r="T30" s="1572" t="s">
        <v>8</v>
      </c>
      <c r="U30" s="1573">
        <f t="shared" si="13"/>
        <v>100</v>
      </c>
      <c r="V30" s="1572" t="s">
        <v>8</v>
      </c>
      <c r="W30" s="1573">
        <f t="shared" si="14"/>
        <v>100</v>
      </c>
      <c r="X30" s="1566"/>
      <c r="Y30" s="3404"/>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4"/>
      <c r="Q31" s="1571">
        <f t="shared" si="11"/>
        <v>111</v>
      </c>
      <c r="R31" s="1572" t="s">
        <v>8</v>
      </c>
      <c r="S31" s="1573">
        <f t="shared" si="12"/>
        <v>100</v>
      </c>
      <c r="T31" s="1572" t="s">
        <v>8</v>
      </c>
      <c r="U31" s="1573">
        <f t="shared" si="13"/>
        <v>100</v>
      </c>
      <c r="V31" s="1572" t="s">
        <v>8</v>
      </c>
      <c r="W31" s="1573">
        <f t="shared" si="14"/>
        <v>100</v>
      </c>
      <c r="X31" s="1566"/>
      <c r="Y31" s="3404"/>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4"/>
      <c r="Q32" s="1571">
        <f t="shared" si="11"/>
        <v>111</v>
      </c>
      <c r="R32" s="1572" t="s">
        <v>8</v>
      </c>
      <c r="S32" s="1573">
        <f t="shared" si="12"/>
        <v>100</v>
      </c>
      <c r="T32" s="1572" t="s">
        <v>8</v>
      </c>
      <c r="U32" s="1573">
        <f t="shared" si="13"/>
        <v>100</v>
      </c>
      <c r="V32" s="1572" t="s">
        <v>8</v>
      </c>
      <c r="W32" s="1573">
        <f t="shared" si="14"/>
        <v>100</v>
      </c>
      <c r="X32" s="1566"/>
      <c r="Y32" s="3404"/>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5" t="s">
        <v>549</v>
      </c>
      <c r="Q33" s="1571" t="str">
        <f t="shared" si="11"/>
        <v>建筑类型</v>
      </c>
      <c r="R33" s="1572" t="s">
        <v>8</v>
      </c>
      <c r="S33" s="1573">
        <f t="shared" si="12"/>
        <v>100</v>
      </c>
      <c r="T33" s="1572" t="s">
        <v>8</v>
      </c>
      <c r="U33" s="1573">
        <f t="shared" si="13"/>
        <v>100</v>
      </c>
      <c r="V33" s="1572" t="s">
        <v>8</v>
      </c>
      <c r="W33" s="1573">
        <f t="shared" si="14"/>
        <v>100</v>
      </c>
      <c r="X33" s="1566"/>
      <c r="Y33" s="3406"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6"/>
      <c r="Q34" s="1604" t="str">
        <f t="shared" si="11"/>
        <v>项目建筑规模</v>
      </c>
      <c r="R34" s="1576" t="s">
        <v>8</v>
      </c>
      <c r="S34" s="1577" t="e">
        <f t="shared" si="12"/>
        <v>#N/A</v>
      </c>
      <c r="T34" s="1576" t="s">
        <v>8</v>
      </c>
      <c r="U34" s="1577" t="e">
        <f t="shared" si="13"/>
        <v>#N/A</v>
      </c>
      <c r="V34" s="1576" t="s">
        <v>8</v>
      </c>
      <c r="W34" s="1577" t="e">
        <f t="shared" si="14"/>
        <v>#N/A</v>
      </c>
      <c r="X34" s="1578"/>
      <c r="Y34" s="3406"/>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6"/>
      <c r="Q35" s="1571" t="str">
        <f t="shared" si="11"/>
        <v>建筑结构</v>
      </c>
      <c r="R35" s="1572" t="s">
        <v>8</v>
      </c>
      <c r="S35" s="1573">
        <f t="shared" si="12"/>
        <v>100</v>
      </c>
      <c r="T35" s="1572" t="s">
        <v>8</v>
      </c>
      <c r="U35" s="1573">
        <f t="shared" si="13"/>
        <v>100</v>
      </c>
      <c r="V35" s="1572" t="s">
        <v>8</v>
      </c>
      <c r="W35" s="1573">
        <f t="shared" si="14"/>
        <v>100</v>
      </c>
      <c r="X35" s="1566"/>
      <c r="Y35" s="3406"/>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6"/>
      <c r="Q36" s="1571" t="str">
        <f t="shared" si="11"/>
        <v>公共部分装修</v>
      </c>
      <c r="R36" s="1572" t="s">
        <v>8</v>
      </c>
      <c r="S36" s="1573">
        <f t="shared" si="12"/>
        <v>100</v>
      </c>
      <c r="T36" s="1572" t="s">
        <v>8</v>
      </c>
      <c r="U36" s="1573">
        <f t="shared" si="13"/>
        <v>100</v>
      </c>
      <c r="V36" s="1572" t="s">
        <v>8</v>
      </c>
      <c r="W36" s="1573">
        <f t="shared" si="14"/>
        <v>100</v>
      </c>
      <c r="X36" s="1566"/>
      <c r="Y36" s="3406"/>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6"/>
      <c r="Q37" s="1571" t="str">
        <f t="shared" si="11"/>
        <v>成新度</v>
      </c>
      <c r="R37" s="1572" t="s">
        <v>8</v>
      </c>
      <c r="S37" s="1573" t="e">
        <f t="shared" si="12"/>
        <v>#N/A</v>
      </c>
      <c r="T37" s="1572" t="s">
        <v>8</v>
      </c>
      <c r="U37" s="1573" t="e">
        <f t="shared" si="13"/>
        <v>#N/A</v>
      </c>
      <c r="V37" s="1572" t="s">
        <v>8</v>
      </c>
      <c r="W37" s="1573" t="e">
        <f t="shared" si="14"/>
        <v>#N/A</v>
      </c>
      <c r="X37" s="1566"/>
      <c r="Y37" s="3406"/>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6"/>
      <c r="Q38" s="1150" t="str">
        <f t="shared" si="11"/>
        <v>写字楼等级</v>
      </c>
      <c r="R38" s="1567" t="s">
        <v>8</v>
      </c>
      <c r="S38" s="1568">
        <f t="shared" si="12"/>
        <v>100</v>
      </c>
      <c r="T38" s="1567" t="s">
        <v>8</v>
      </c>
      <c r="U38" s="1568">
        <f t="shared" si="13"/>
        <v>100</v>
      </c>
      <c r="V38" s="1567" t="s">
        <v>8</v>
      </c>
      <c r="W38" s="1568">
        <f t="shared" si="14"/>
        <v>100</v>
      </c>
      <c r="X38" s="1569"/>
      <c r="Y38" s="3406"/>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6" t="s">
        <v>549</v>
      </c>
      <c r="Q39" s="1571" t="str">
        <f t="shared" si="11"/>
        <v>物业管理</v>
      </c>
      <c r="R39" s="1572" t="s">
        <v>8</v>
      </c>
      <c r="S39" s="1573">
        <f t="shared" si="12"/>
        <v>100</v>
      </c>
      <c r="T39" s="1572" t="s">
        <v>8</v>
      </c>
      <c r="U39" s="1573">
        <f t="shared" si="13"/>
        <v>100</v>
      </c>
      <c r="V39" s="1572" t="s">
        <v>8</v>
      </c>
      <c r="W39" s="1573">
        <f t="shared" si="14"/>
        <v>100</v>
      </c>
      <c r="X39" s="1566"/>
      <c r="Y39" s="3406"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6"/>
      <c r="Q40" s="1571" t="str">
        <f t="shared" si="11"/>
        <v>市政基础设施</v>
      </c>
      <c r="R40" s="1572" t="s">
        <v>8</v>
      </c>
      <c r="S40" s="1573">
        <f t="shared" si="12"/>
        <v>100</v>
      </c>
      <c r="T40" s="1572" t="s">
        <v>8</v>
      </c>
      <c r="U40" s="1573">
        <f t="shared" si="13"/>
        <v>100</v>
      </c>
      <c r="V40" s="1572" t="s">
        <v>8</v>
      </c>
      <c r="W40" s="1573">
        <f t="shared" si="14"/>
        <v>100</v>
      </c>
      <c r="X40" s="1566"/>
      <c r="Y40" s="3406"/>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6"/>
      <c r="Q41" s="1571" t="str">
        <f t="shared" si="11"/>
        <v>层高</v>
      </c>
      <c r="R41" s="1572" t="s">
        <v>8</v>
      </c>
      <c r="S41" s="1573">
        <f t="shared" si="12"/>
        <v>100</v>
      </c>
      <c r="T41" s="1572" t="s">
        <v>8</v>
      </c>
      <c r="U41" s="1573">
        <f t="shared" si="13"/>
        <v>100</v>
      </c>
      <c r="V41" s="1572" t="s">
        <v>8</v>
      </c>
      <c r="W41" s="1573">
        <f t="shared" si="14"/>
        <v>100</v>
      </c>
      <c r="X41" s="1566"/>
      <c r="Y41" s="3406"/>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6"/>
      <c r="Q42" s="1604" t="str">
        <f t="shared" si="11"/>
        <v>单套建筑面积</v>
      </c>
      <c r="R42" s="1576" t="s">
        <v>8</v>
      </c>
      <c r="S42" s="1577">
        <f t="shared" si="12"/>
        <v>100</v>
      </c>
      <c r="T42" s="1576" t="s">
        <v>8</v>
      </c>
      <c r="U42" s="1577">
        <f t="shared" si="13"/>
        <v>100</v>
      </c>
      <c r="V42" s="1576" t="s">
        <v>8</v>
      </c>
      <c r="W42" s="1577">
        <f t="shared" si="14"/>
        <v>100</v>
      </c>
      <c r="X42" s="1578"/>
      <c r="Y42" s="3406"/>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6"/>
      <c r="Q43" s="1571" t="str">
        <f t="shared" si="11"/>
        <v>内部装修</v>
      </c>
      <c r="R43" s="1572" t="s">
        <v>8</v>
      </c>
      <c r="S43" s="1573">
        <f t="shared" si="12"/>
        <v>100</v>
      </c>
      <c r="T43" s="1572" t="s">
        <v>8</v>
      </c>
      <c r="U43" s="1573">
        <f t="shared" si="13"/>
        <v>100</v>
      </c>
      <c r="V43" s="1572" t="s">
        <v>8</v>
      </c>
      <c r="W43" s="1573">
        <f t="shared" si="14"/>
        <v>100</v>
      </c>
      <c r="X43" s="1566"/>
      <c r="Y43" s="3406"/>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6"/>
      <c r="Q44" s="1571" t="str">
        <f t="shared" si="11"/>
        <v>内部装修维护情况</v>
      </c>
      <c r="R44" s="1572" t="s">
        <v>8</v>
      </c>
      <c r="S44" s="1573">
        <f t="shared" si="12"/>
        <v>100</v>
      </c>
      <c r="T44" s="1572" t="s">
        <v>8</v>
      </c>
      <c r="U44" s="1573">
        <f t="shared" si="13"/>
        <v>100</v>
      </c>
      <c r="V44" s="1572" t="s">
        <v>8</v>
      </c>
      <c r="W44" s="1573">
        <f t="shared" si="14"/>
        <v>100</v>
      </c>
      <c r="X44" s="1566"/>
      <c r="Y44" s="3406"/>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6"/>
      <c r="Q45" s="1150">
        <f t="shared" si="11"/>
        <v>111</v>
      </c>
      <c r="R45" s="1567" t="s">
        <v>8</v>
      </c>
      <c r="S45" s="1568">
        <f t="shared" si="12"/>
        <v>100</v>
      </c>
      <c r="T45" s="1567" t="s">
        <v>8</v>
      </c>
      <c r="U45" s="1568">
        <f t="shared" si="13"/>
        <v>100</v>
      </c>
      <c r="V45" s="1567" t="s">
        <v>8</v>
      </c>
      <c r="W45" s="1568">
        <f t="shared" si="14"/>
        <v>100</v>
      </c>
      <c r="X45" s="1569"/>
      <c r="Y45" s="3406"/>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6"/>
      <c r="Q46" s="1571">
        <f t="shared" si="11"/>
        <v>111</v>
      </c>
      <c r="R46" s="1572" t="s">
        <v>8</v>
      </c>
      <c r="S46" s="1573">
        <f t="shared" si="12"/>
        <v>100</v>
      </c>
      <c r="T46" s="1572" t="s">
        <v>8</v>
      </c>
      <c r="U46" s="1573">
        <f t="shared" si="13"/>
        <v>100</v>
      </c>
      <c r="V46" s="1572" t="s">
        <v>8</v>
      </c>
      <c r="W46" s="1573">
        <f t="shared" si="14"/>
        <v>100</v>
      </c>
      <c r="X46" s="1566"/>
      <c r="Y46" s="3406"/>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4"/>
      <c r="Q47" s="1571">
        <f t="shared" si="11"/>
        <v>111</v>
      </c>
      <c r="R47" s="1572" t="s">
        <v>8</v>
      </c>
      <c r="S47" s="1573">
        <f t="shared" si="12"/>
        <v>100</v>
      </c>
      <c r="T47" s="1572" t="s">
        <v>8</v>
      </c>
      <c r="U47" s="1573">
        <f t="shared" si="13"/>
        <v>100</v>
      </c>
      <c r="V47" s="1572" t="s">
        <v>8</v>
      </c>
      <c r="W47" s="1573">
        <f t="shared" si="14"/>
        <v>100</v>
      </c>
      <c r="X47" s="1566"/>
      <c r="Y47" s="3484"/>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367" t="str">
        <f>A48</f>
        <v>成交单价（元/平方米）</v>
      </c>
      <c r="Q48" s="3369"/>
      <c r="R48" s="3483">
        <f>E48</f>
        <v>0</v>
      </c>
      <c r="S48" s="3483"/>
      <c r="T48" s="3483">
        <f>G48</f>
        <v>0</v>
      </c>
      <c r="U48" s="3483"/>
      <c r="V48" s="3483">
        <f>I48</f>
        <v>0</v>
      </c>
      <c r="W48" s="3483"/>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367" t="str">
        <f>A49</f>
        <v>比较价格（元/平方米）</v>
      </c>
      <c r="Q49" s="3369"/>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58"/>
      <c r="Y49" s="1558"/>
      <c r="Z49" s="1558"/>
      <c r="AA49" s="1558"/>
      <c r="AB49" s="1558"/>
      <c r="AC49" s="1558"/>
    </row>
    <row r="50" spans="1:29" ht="15.75" thickBot="1">
      <c r="A50" s="621" t="s">
        <v>2939</v>
      </c>
      <c r="B50" s="622"/>
      <c r="C50" s="2636" t="e">
        <f>R50</f>
        <v>#DIV/0!</v>
      </c>
      <c r="D50" s="2636"/>
      <c r="E50" s="2636"/>
      <c r="F50" s="2636"/>
      <c r="G50" s="2636"/>
      <c r="H50" s="2636"/>
      <c r="I50" s="2636"/>
      <c r="J50" s="2636"/>
      <c r="K50" s="1612"/>
      <c r="L50" s="2144"/>
      <c r="M50" s="2134"/>
      <c r="N50" s="2134"/>
      <c r="O50" s="2134"/>
      <c r="P50" s="3486" t="str">
        <f>A50</f>
        <v>估价对象XX用房的比较价格（楼面单价，元/平方米）</v>
      </c>
      <c r="Q50" s="3367"/>
      <c r="R50" s="3482" t="e">
        <f>IF(F1="售价",ROUND(AVERAGE(R49:V49),0),ROUND(AVERAGE(R49:V49),1))</f>
        <v>#DIV/0!</v>
      </c>
      <c r="S50" s="3482"/>
      <c r="T50" s="3482"/>
      <c r="U50" s="3482"/>
      <c r="V50" s="3482"/>
      <c r="W50" s="348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375" t="s">
        <v>521</v>
      </c>
      <c r="D4" s="3376"/>
      <c r="E4" s="3410" t="s">
        <v>522</v>
      </c>
      <c r="F4" s="3411"/>
      <c r="G4" s="3375" t="s">
        <v>523</v>
      </c>
      <c r="H4" s="3376"/>
      <c r="I4" s="3375" t="s">
        <v>524</v>
      </c>
      <c r="J4" s="3376"/>
      <c r="K4" s="514" t="s">
        <v>525</v>
      </c>
      <c r="L4" s="2133"/>
      <c r="M4" s="2134"/>
      <c r="N4" s="2134"/>
      <c r="O4" s="2134"/>
      <c r="P4" s="3377" t="s">
        <v>526</v>
      </c>
      <c r="Q4" s="3378"/>
      <c r="R4" s="3383" t="s">
        <v>522</v>
      </c>
      <c r="S4" s="3384"/>
      <c r="T4" s="3383" t="s">
        <v>523</v>
      </c>
      <c r="U4" s="3384"/>
      <c r="V4" s="3370" t="s">
        <v>524</v>
      </c>
      <c r="W4" s="3370"/>
      <c r="X4" s="1566"/>
      <c r="Y4" s="3383" t="s">
        <v>526</v>
      </c>
      <c r="Z4" s="3384"/>
      <c r="AA4" s="3372" t="s">
        <v>522</v>
      </c>
      <c r="AB4" s="3373" t="s">
        <v>523</v>
      </c>
      <c r="AC4" s="3372" t="s">
        <v>524</v>
      </c>
    </row>
    <row r="5" spans="1:29" ht="15">
      <c r="A5" s="515"/>
      <c r="B5" s="516"/>
      <c r="C5" s="3407" t="s">
        <v>2933</v>
      </c>
      <c r="D5" s="3392"/>
      <c r="E5" s="3412" t="s">
        <v>2934</v>
      </c>
      <c r="F5" s="3413"/>
      <c r="G5" s="3407" t="s">
        <v>2935</v>
      </c>
      <c r="H5" s="3392"/>
      <c r="I5" s="3407" t="s">
        <v>2936</v>
      </c>
      <c r="J5" s="3392"/>
      <c r="K5" s="514"/>
      <c r="L5" s="2133"/>
      <c r="M5" s="2134"/>
      <c r="N5" s="2134"/>
      <c r="O5" s="2134"/>
      <c r="P5" s="3379"/>
      <c r="Q5" s="3380"/>
      <c r="R5" s="3385"/>
      <c r="S5" s="3386"/>
      <c r="T5" s="3385"/>
      <c r="U5" s="3386"/>
      <c r="V5" s="3370"/>
      <c r="W5" s="3370"/>
      <c r="X5" s="1566"/>
      <c r="Y5" s="3385"/>
      <c r="Z5" s="3386"/>
      <c r="AA5" s="3373"/>
      <c r="AB5" s="3373"/>
      <c r="AC5" s="3373"/>
    </row>
    <row r="6" spans="1:29" ht="15.75" thickBot="1">
      <c r="A6" s="517"/>
      <c r="B6" s="518"/>
      <c r="C6" s="3389" t="s">
        <v>2937</v>
      </c>
      <c r="D6" s="3390"/>
      <c r="E6" s="3408" t="s">
        <v>2937</v>
      </c>
      <c r="F6" s="3409"/>
      <c r="G6" s="3389" t="s">
        <v>2937</v>
      </c>
      <c r="H6" s="3390"/>
      <c r="I6" s="3389" t="s">
        <v>2937</v>
      </c>
      <c r="J6" s="3390"/>
      <c r="K6" s="514" t="s">
        <v>527</v>
      </c>
      <c r="L6" s="2133"/>
      <c r="M6" s="2134"/>
      <c r="N6" s="2134"/>
      <c r="O6" s="2134"/>
      <c r="P6" s="3381"/>
      <c r="Q6" s="3382"/>
      <c r="R6" s="3385"/>
      <c r="S6" s="3386"/>
      <c r="T6" s="3387"/>
      <c r="U6" s="3388"/>
      <c r="V6" s="3370"/>
      <c r="W6" s="3370"/>
      <c r="X6" s="1566"/>
      <c r="Y6" s="3387"/>
      <c r="Z6" s="3388"/>
      <c r="AA6" s="3374"/>
      <c r="AB6" s="3374"/>
      <c r="AC6" s="3374"/>
    </row>
    <row r="7" spans="1:29" s="1219" customFormat="1" ht="15.75" thickBot="1">
      <c r="A7" s="2912"/>
      <c r="B7" s="2919" t="s">
        <v>528</v>
      </c>
      <c r="C7" s="519">
        <f>'数据-取费表'!B2</f>
        <v>43334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0" t="s">
        <v>529</v>
      </c>
      <c r="Q7" s="3402"/>
      <c r="R7" s="1567" t="s">
        <v>8</v>
      </c>
      <c r="S7" s="1568">
        <f t="shared" ref="S7:S15" si="0">F7</f>
        <v>0</v>
      </c>
      <c r="T7" s="1567" t="s">
        <v>8</v>
      </c>
      <c r="U7" s="1568">
        <f t="shared" ref="U7:U15" si="1">H7</f>
        <v>0</v>
      </c>
      <c r="V7" s="1567" t="s">
        <v>8</v>
      </c>
      <c r="W7" s="1568">
        <f t="shared" ref="W7:W15" si="2">J7</f>
        <v>0</v>
      </c>
      <c r="X7" s="1569"/>
      <c r="Y7" s="3400" t="s">
        <v>529</v>
      </c>
      <c r="Z7" s="3401"/>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0" t="s">
        <v>532</v>
      </c>
      <c r="Q8" s="3401"/>
      <c r="R8" s="1567" t="s">
        <v>8</v>
      </c>
      <c r="S8" s="1568">
        <f t="shared" si="0"/>
        <v>0</v>
      </c>
      <c r="T8" s="1567" t="s">
        <v>8</v>
      </c>
      <c r="U8" s="1568">
        <f t="shared" si="1"/>
        <v>0</v>
      </c>
      <c r="V8" s="1567" t="s">
        <v>8</v>
      </c>
      <c r="W8" s="1568">
        <f t="shared" si="2"/>
        <v>0</v>
      </c>
      <c r="X8" s="1569"/>
      <c r="Y8" s="3400" t="s">
        <v>532</v>
      </c>
      <c r="Z8" s="3401"/>
      <c r="AA8" s="1570" t="e">
        <f t="shared" ref="AA8:AA40" si="3">D8/F8</f>
        <v>#DIV/0!</v>
      </c>
      <c r="AB8" s="1570" t="e">
        <f t="shared" ref="AB8:AB40" si="4">D8/H8</f>
        <v>#DIV/0!</v>
      </c>
      <c r="AC8" s="1570"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9" t="s">
        <v>534</v>
      </c>
      <c r="Q9" s="1150" t="str">
        <f t="shared" ref="Q9:Q15" si="6">B9</f>
        <v>用途</v>
      </c>
      <c r="R9" s="1567" t="s">
        <v>8</v>
      </c>
      <c r="S9" s="1568">
        <f t="shared" si="0"/>
        <v>100</v>
      </c>
      <c r="T9" s="1567" t="s">
        <v>8</v>
      </c>
      <c r="U9" s="1568">
        <f t="shared" si="1"/>
        <v>100</v>
      </c>
      <c r="V9" s="1567" t="s">
        <v>8</v>
      </c>
      <c r="W9" s="1568">
        <f t="shared" si="2"/>
        <v>100</v>
      </c>
      <c r="X9" s="1569"/>
      <c r="Y9" s="3315"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9"/>
      <c r="Q10" s="1150" t="str">
        <f t="shared" si="6"/>
        <v>土地使用年限（年）</v>
      </c>
      <c r="R10" s="1567" t="s">
        <v>8</v>
      </c>
      <c r="S10" s="1568">
        <f t="shared" si="0"/>
        <v>100</v>
      </c>
      <c r="T10" s="1567" t="s">
        <v>8</v>
      </c>
      <c r="U10" s="1568">
        <f t="shared" si="1"/>
        <v>100</v>
      </c>
      <c r="V10" s="1567" t="s">
        <v>8</v>
      </c>
      <c r="W10" s="1568">
        <f t="shared" si="2"/>
        <v>100</v>
      </c>
      <c r="X10" s="1569"/>
      <c r="Y10" s="3315"/>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9"/>
      <c r="Q11" s="1150" t="str">
        <f t="shared" si="6"/>
        <v>容积率</v>
      </c>
      <c r="R11" s="1567" t="s">
        <v>8</v>
      </c>
      <c r="S11" s="1568" t="e">
        <f t="shared" si="0"/>
        <v>#N/A</v>
      </c>
      <c r="T11" s="1567" t="s">
        <v>8</v>
      </c>
      <c r="U11" s="1568" t="e">
        <f t="shared" si="1"/>
        <v>#N/A</v>
      </c>
      <c r="V11" s="1567" t="s">
        <v>8</v>
      </c>
      <c r="W11" s="1568" t="e">
        <f t="shared" si="2"/>
        <v>#N/A</v>
      </c>
      <c r="X11" s="1569"/>
      <c r="Y11" s="3315"/>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9"/>
      <c r="Q12" s="1150">
        <f t="shared" si="6"/>
        <v>111</v>
      </c>
      <c r="R12" s="1567" t="s">
        <v>8</v>
      </c>
      <c r="S12" s="1568">
        <f t="shared" si="0"/>
        <v>100</v>
      </c>
      <c r="T12" s="1567" t="s">
        <v>8</v>
      </c>
      <c r="U12" s="1568">
        <f t="shared" si="1"/>
        <v>100</v>
      </c>
      <c r="V12" s="1567" t="s">
        <v>8</v>
      </c>
      <c r="W12" s="1568">
        <f t="shared" si="2"/>
        <v>100</v>
      </c>
      <c r="X12" s="1569"/>
      <c r="Y12" s="3315"/>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9"/>
      <c r="Q13" s="1150">
        <f t="shared" si="6"/>
        <v>111</v>
      </c>
      <c r="R13" s="1567" t="s">
        <v>8</v>
      </c>
      <c r="S13" s="1568">
        <f t="shared" si="0"/>
        <v>100</v>
      </c>
      <c r="T13" s="1567" t="s">
        <v>8</v>
      </c>
      <c r="U13" s="1568">
        <f t="shared" si="1"/>
        <v>100</v>
      </c>
      <c r="V13" s="1567" t="s">
        <v>8</v>
      </c>
      <c r="W13" s="1568">
        <f t="shared" si="2"/>
        <v>100</v>
      </c>
      <c r="X13" s="1569"/>
      <c r="Y13" s="3315"/>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9"/>
      <c r="Q14" s="1150">
        <f t="shared" si="6"/>
        <v>111</v>
      </c>
      <c r="R14" s="1567" t="s">
        <v>8</v>
      </c>
      <c r="S14" s="1568">
        <f t="shared" si="0"/>
        <v>100</v>
      </c>
      <c r="T14" s="1567" t="s">
        <v>8</v>
      </c>
      <c r="U14" s="1568">
        <f t="shared" si="1"/>
        <v>100</v>
      </c>
      <c r="V14" s="1567" t="s">
        <v>8</v>
      </c>
      <c r="W14" s="1568">
        <f t="shared" si="2"/>
        <v>100</v>
      </c>
      <c r="X14" s="1569"/>
      <c r="Y14" s="3315"/>
      <c r="Z14" s="1149">
        <f t="shared" si="7"/>
        <v>111</v>
      </c>
      <c r="AA14" s="1570">
        <f t="shared" si="3"/>
        <v>1</v>
      </c>
      <c r="AB14" s="1570">
        <f t="shared" si="4"/>
        <v>1</v>
      </c>
      <c r="AC14" s="1570">
        <f t="shared" si="5"/>
        <v>1</v>
      </c>
    </row>
    <row r="15" spans="1:29" ht="57">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3" t="s">
        <v>539</v>
      </c>
      <c r="Q15" s="1571" t="str">
        <f t="shared" si="6"/>
        <v>产业集聚程度</v>
      </c>
      <c r="R15" s="1572" t="s">
        <v>8</v>
      </c>
      <c r="S15" s="1573">
        <f t="shared" si="0"/>
        <v>100</v>
      </c>
      <c r="T15" s="1572" t="s">
        <v>8</v>
      </c>
      <c r="U15" s="1573">
        <f t="shared" si="1"/>
        <v>100</v>
      </c>
      <c r="V15" s="1572" t="s">
        <v>8</v>
      </c>
      <c r="W15" s="1573">
        <f t="shared" si="2"/>
        <v>100</v>
      </c>
      <c r="X15" s="1566"/>
      <c r="Y15" s="3403"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4"/>
      <c r="Q16" s="1571"/>
      <c r="R16" s="1572"/>
      <c r="S16" s="1573"/>
      <c r="T16" s="1572"/>
      <c r="U16" s="1573"/>
      <c r="V16" s="1572"/>
      <c r="W16" s="1573"/>
      <c r="X16" s="1566"/>
      <c r="Y16" s="3404"/>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4"/>
      <c r="Q18" s="1571"/>
      <c r="R18" s="1572"/>
      <c r="S18" s="1573"/>
      <c r="T18" s="1572"/>
      <c r="U18" s="1573"/>
      <c r="V18" s="1572"/>
      <c r="W18" s="1573"/>
      <c r="X18" s="1566"/>
      <c r="Y18" s="3404"/>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04"/>
      <c r="Q20" s="1571"/>
      <c r="R20" s="1572"/>
      <c r="S20" s="1573"/>
      <c r="T20" s="1572"/>
      <c r="U20" s="1573"/>
      <c r="V20" s="1572"/>
      <c r="W20" s="1573"/>
      <c r="X20" s="1566"/>
      <c r="Y20" s="3404"/>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4"/>
      <c r="Q21" s="2579" t="str">
        <f>B21</f>
        <v>基础设施水平</v>
      </c>
      <c r="R21" s="1572" t="s">
        <v>8</v>
      </c>
      <c r="S21" s="1573">
        <f>F21</f>
        <v>100</v>
      </c>
      <c r="T21" s="1572" t="s">
        <v>8</v>
      </c>
      <c r="U21" s="1573">
        <f>H21</f>
        <v>100</v>
      </c>
      <c r="V21" s="1572" t="s">
        <v>8</v>
      </c>
      <c r="W21" s="1573">
        <f>J21</f>
        <v>100</v>
      </c>
      <c r="X21" s="2581"/>
      <c r="Y21" s="3404"/>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04"/>
      <c r="Q22" s="2579"/>
      <c r="R22" s="1572"/>
      <c r="S22" s="1573"/>
      <c r="T22" s="1572"/>
      <c r="U22" s="1573"/>
      <c r="V22" s="1572"/>
      <c r="W22" s="1573"/>
      <c r="X22" s="2581"/>
      <c r="Y22" s="3404"/>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4"/>
      <c r="Q23" s="1571" t="str">
        <f>B23</f>
        <v>环境质量</v>
      </c>
      <c r="R23" s="1572" t="s">
        <v>8</v>
      </c>
      <c r="S23" s="1573">
        <f>F23</f>
        <v>100</v>
      </c>
      <c r="T23" s="1572" t="s">
        <v>8</v>
      </c>
      <c r="U23" s="1573">
        <f>H23</f>
        <v>100</v>
      </c>
      <c r="V23" s="1572" t="s">
        <v>8</v>
      </c>
      <c r="W23" s="1573">
        <f>J23</f>
        <v>100</v>
      </c>
      <c r="X23" s="1566"/>
      <c r="Y23" s="3404"/>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04"/>
      <c r="Q24" s="1571"/>
      <c r="R24" s="1572"/>
      <c r="S24" s="1573"/>
      <c r="T24" s="1572"/>
      <c r="U24" s="1573"/>
      <c r="V24" s="1572"/>
      <c r="W24" s="1573"/>
      <c r="X24" s="1566"/>
      <c r="Y24" s="3404"/>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4"/>
      <c r="Q25" s="1571">
        <f>B25</f>
        <v>111</v>
      </c>
      <c r="R25" s="1572" t="s">
        <v>8</v>
      </c>
      <c r="S25" s="1573">
        <f>F25</f>
        <v>100</v>
      </c>
      <c r="T25" s="1572" t="s">
        <v>8</v>
      </c>
      <c r="U25" s="1573">
        <f>H25</f>
        <v>100</v>
      </c>
      <c r="V25" s="1572" t="s">
        <v>8</v>
      </c>
      <c r="W25" s="1573">
        <f>J25</f>
        <v>100</v>
      </c>
      <c r="X25" s="1566"/>
      <c r="Y25" s="3404"/>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4"/>
      <c r="Q26" s="1571">
        <f t="shared" ref="Q26:Q40" si="11">B26</f>
        <v>111</v>
      </c>
      <c r="R26" s="1572" t="s">
        <v>8</v>
      </c>
      <c r="S26" s="1573">
        <f>F26</f>
        <v>100</v>
      </c>
      <c r="T26" s="1572" t="s">
        <v>8</v>
      </c>
      <c r="U26" s="1573">
        <f>H26</f>
        <v>100</v>
      </c>
      <c r="V26" s="1572" t="s">
        <v>8</v>
      </c>
      <c r="W26" s="1573">
        <f>J26</f>
        <v>100</v>
      </c>
      <c r="X26" s="1566"/>
      <c r="Y26" s="3404"/>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4"/>
      <c r="Q27" s="1150">
        <f t="shared" si="11"/>
        <v>111</v>
      </c>
      <c r="R27" s="1567" t="s">
        <v>8</v>
      </c>
      <c r="S27" s="1568">
        <f>F27</f>
        <v>100</v>
      </c>
      <c r="T27" s="1567" t="s">
        <v>8</v>
      </c>
      <c r="U27" s="1568">
        <f>H27</f>
        <v>100</v>
      </c>
      <c r="V27" s="1567" t="s">
        <v>8</v>
      </c>
      <c r="W27" s="1568">
        <f>J27</f>
        <v>100</v>
      </c>
      <c r="X27" s="1569"/>
      <c r="Y27" s="3404"/>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4"/>
      <c r="Q28" s="1571">
        <f t="shared" si="11"/>
        <v>111</v>
      </c>
      <c r="R28" s="1572" t="s">
        <v>8</v>
      </c>
      <c r="S28" s="1573">
        <f t="shared" ref="S28:S40" si="12">F28</f>
        <v>100</v>
      </c>
      <c r="T28" s="1572" t="s">
        <v>8</v>
      </c>
      <c r="U28" s="1573">
        <f t="shared" ref="U28:U40" si="13">H28</f>
        <v>100</v>
      </c>
      <c r="V28" s="1572" t="s">
        <v>8</v>
      </c>
      <c r="W28" s="1573">
        <f t="shared" ref="W28:W40" si="14">J28</f>
        <v>100</v>
      </c>
      <c r="X28" s="1566"/>
      <c r="Y28" s="3404"/>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5" t="s">
        <v>549</v>
      </c>
      <c r="Q29" s="1571" t="str">
        <f t="shared" si="11"/>
        <v>建筑类型</v>
      </c>
      <c r="R29" s="1572" t="s">
        <v>8</v>
      </c>
      <c r="S29" s="1573">
        <f t="shared" si="12"/>
        <v>100</v>
      </c>
      <c r="T29" s="1572" t="s">
        <v>8</v>
      </c>
      <c r="U29" s="1573">
        <f t="shared" si="13"/>
        <v>100</v>
      </c>
      <c r="V29" s="1572" t="s">
        <v>8</v>
      </c>
      <c r="W29" s="1573">
        <f t="shared" si="14"/>
        <v>100</v>
      </c>
      <c r="X29" s="1566"/>
      <c r="Y29" s="3406"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6"/>
      <c r="Q30" s="1604" t="str">
        <f t="shared" si="11"/>
        <v>项目建筑规模</v>
      </c>
      <c r="R30" s="1576" t="s">
        <v>8</v>
      </c>
      <c r="S30" s="1577" t="e">
        <f t="shared" si="12"/>
        <v>#N/A</v>
      </c>
      <c r="T30" s="1576" t="s">
        <v>8</v>
      </c>
      <c r="U30" s="1577" t="e">
        <f t="shared" si="13"/>
        <v>#N/A</v>
      </c>
      <c r="V30" s="1576" t="s">
        <v>8</v>
      </c>
      <c r="W30" s="1577" t="e">
        <f t="shared" si="14"/>
        <v>#N/A</v>
      </c>
      <c r="X30" s="1578"/>
      <c r="Y30" s="3406"/>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6"/>
      <c r="Q31" s="1571" t="str">
        <f t="shared" si="11"/>
        <v>建筑结构</v>
      </c>
      <c r="R31" s="1572" t="s">
        <v>8</v>
      </c>
      <c r="S31" s="1573">
        <f t="shared" si="12"/>
        <v>100</v>
      </c>
      <c r="T31" s="1572" t="s">
        <v>8</v>
      </c>
      <c r="U31" s="1573">
        <f t="shared" si="13"/>
        <v>100</v>
      </c>
      <c r="V31" s="1572" t="s">
        <v>8</v>
      </c>
      <c r="W31" s="1573">
        <f t="shared" si="14"/>
        <v>100</v>
      </c>
      <c r="X31" s="1566"/>
      <c r="Y31" s="3406"/>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6"/>
      <c r="Q32" s="1571" t="str">
        <f t="shared" si="11"/>
        <v>公共部分装修</v>
      </c>
      <c r="R32" s="1572" t="s">
        <v>8</v>
      </c>
      <c r="S32" s="1573">
        <f t="shared" si="12"/>
        <v>100</v>
      </c>
      <c r="T32" s="1572" t="s">
        <v>8</v>
      </c>
      <c r="U32" s="1573">
        <f t="shared" si="13"/>
        <v>100</v>
      </c>
      <c r="V32" s="1572" t="s">
        <v>8</v>
      </c>
      <c r="W32" s="1573">
        <f t="shared" si="14"/>
        <v>100</v>
      </c>
      <c r="X32" s="1566"/>
      <c r="Y32" s="3406"/>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6"/>
      <c r="Q33" s="1571" t="str">
        <f t="shared" si="11"/>
        <v>成新度</v>
      </c>
      <c r="R33" s="1572" t="s">
        <v>8</v>
      </c>
      <c r="S33" s="1573" t="e">
        <f t="shared" si="12"/>
        <v>#N/A</v>
      </c>
      <c r="T33" s="1572" t="s">
        <v>8</v>
      </c>
      <c r="U33" s="1573" t="e">
        <f t="shared" si="13"/>
        <v>#N/A</v>
      </c>
      <c r="V33" s="1572" t="s">
        <v>8</v>
      </c>
      <c r="W33" s="1573" t="e">
        <f t="shared" si="14"/>
        <v>#N/A</v>
      </c>
      <c r="X33" s="1566"/>
      <c r="Y33" s="3406"/>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6"/>
      <c r="Q34" s="1150" t="str">
        <f t="shared" si="11"/>
        <v>物业管理</v>
      </c>
      <c r="R34" s="1567" t="s">
        <v>8</v>
      </c>
      <c r="S34" s="1568">
        <f t="shared" si="12"/>
        <v>100</v>
      </c>
      <c r="T34" s="1567" t="s">
        <v>8</v>
      </c>
      <c r="U34" s="1568">
        <f t="shared" si="13"/>
        <v>100</v>
      </c>
      <c r="V34" s="1567" t="s">
        <v>8</v>
      </c>
      <c r="W34" s="1568">
        <f t="shared" si="14"/>
        <v>100</v>
      </c>
      <c r="X34" s="1569"/>
      <c r="Y34" s="3406"/>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6" t="s">
        <v>549</v>
      </c>
      <c r="Q35" s="1571" t="str">
        <f t="shared" si="11"/>
        <v>市政基础设施</v>
      </c>
      <c r="R35" s="1572" t="s">
        <v>8</v>
      </c>
      <c r="S35" s="1573">
        <f t="shared" si="12"/>
        <v>100</v>
      </c>
      <c r="T35" s="1572" t="s">
        <v>8</v>
      </c>
      <c r="U35" s="1573">
        <f t="shared" si="13"/>
        <v>100</v>
      </c>
      <c r="V35" s="1572" t="s">
        <v>8</v>
      </c>
      <c r="W35" s="1573">
        <f t="shared" si="14"/>
        <v>100</v>
      </c>
      <c r="X35" s="1566"/>
      <c r="Y35" s="3406"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6"/>
      <c r="Q36" s="1571" t="str">
        <f t="shared" si="11"/>
        <v>内部装修</v>
      </c>
      <c r="R36" s="1572" t="s">
        <v>8</v>
      </c>
      <c r="S36" s="1573">
        <f t="shared" si="12"/>
        <v>100</v>
      </c>
      <c r="T36" s="1572" t="s">
        <v>8</v>
      </c>
      <c r="U36" s="1573">
        <f t="shared" si="13"/>
        <v>100</v>
      </c>
      <c r="V36" s="1572" t="s">
        <v>8</v>
      </c>
      <c r="W36" s="1573">
        <f t="shared" si="14"/>
        <v>100</v>
      </c>
      <c r="X36" s="1566"/>
      <c r="Y36" s="3406"/>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6"/>
      <c r="Q37" s="1571" t="str">
        <f t="shared" si="11"/>
        <v>内部装修状况</v>
      </c>
      <c r="R37" s="1572" t="s">
        <v>8</v>
      </c>
      <c r="S37" s="1573">
        <f t="shared" si="12"/>
        <v>100</v>
      </c>
      <c r="T37" s="1572" t="s">
        <v>8</v>
      </c>
      <c r="U37" s="1573">
        <f t="shared" si="13"/>
        <v>100</v>
      </c>
      <c r="V37" s="1572" t="s">
        <v>8</v>
      </c>
      <c r="W37" s="1573">
        <f t="shared" si="14"/>
        <v>100</v>
      </c>
      <c r="X37" s="1566"/>
      <c r="Y37" s="3406"/>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6"/>
      <c r="Q38" s="1604">
        <f t="shared" si="11"/>
        <v>111</v>
      </c>
      <c r="R38" s="1576" t="s">
        <v>8</v>
      </c>
      <c r="S38" s="1577">
        <f t="shared" si="12"/>
        <v>100</v>
      </c>
      <c r="T38" s="1576" t="s">
        <v>8</v>
      </c>
      <c r="U38" s="1577">
        <f t="shared" si="13"/>
        <v>100</v>
      </c>
      <c r="V38" s="1576" t="s">
        <v>8</v>
      </c>
      <c r="W38" s="1577">
        <f t="shared" si="14"/>
        <v>100</v>
      </c>
      <c r="X38" s="1578"/>
      <c r="Y38" s="3406"/>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6"/>
      <c r="Q39" s="1571">
        <f t="shared" si="11"/>
        <v>111</v>
      </c>
      <c r="R39" s="1572" t="s">
        <v>8</v>
      </c>
      <c r="S39" s="1573">
        <f t="shared" si="12"/>
        <v>100</v>
      </c>
      <c r="T39" s="1572" t="s">
        <v>8</v>
      </c>
      <c r="U39" s="1573">
        <f t="shared" si="13"/>
        <v>100</v>
      </c>
      <c r="V39" s="1572" t="s">
        <v>8</v>
      </c>
      <c r="W39" s="1573">
        <f t="shared" si="14"/>
        <v>100</v>
      </c>
      <c r="X39" s="1566"/>
      <c r="Y39" s="3406"/>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4"/>
      <c r="Q40" s="1571">
        <f t="shared" si="11"/>
        <v>111</v>
      </c>
      <c r="R40" s="1572" t="s">
        <v>8</v>
      </c>
      <c r="S40" s="1573">
        <f t="shared" si="12"/>
        <v>100</v>
      </c>
      <c r="T40" s="1572" t="s">
        <v>8</v>
      </c>
      <c r="U40" s="1573">
        <f t="shared" si="13"/>
        <v>100</v>
      </c>
      <c r="V40" s="1572" t="s">
        <v>8</v>
      </c>
      <c r="W40" s="1573">
        <f t="shared" si="14"/>
        <v>100</v>
      </c>
      <c r="X40" s="1566"/>
      <c r="Y40" s="3484"/>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369" t="str">
        <f>A41</f>
        <v>成交单价（元/平方米）</v>
      </c>
      <c r="Q41" s="3369"/>
      <c r="R41" s="3483">
        <f>E41</f>
        <v>0</v>
      </c>
      <c r="S41" s="3483"/>
      <c r="T41" s="3483">
        <f>G41</f>
        <v>0</v>
      </c>
      <c r="U41" s="3483"/>
      <c r="V41" s="3483">
        <f>I41</f>
        <v>0</v>
      </c>
      <c r="W41" s="3483"/>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369" t="str">
        <f>A42</f>
        <v>比较价格（元/平方米）</v>
      </c>
      <c r="Q42" s="3369"/>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58"/>
      <c r="Y42" s="1558"/>
      <c r="Z42" s="1558"/>
      <c r="AA42" s="1558"/>
      <c r="AB42" s="1558"/>
      <c r="AC42" s="1558"/>
    </row>
    <row r="43" spans="1:29" ht="15.75" thickBot="1">
      <c r="A43" s="621" t="s">
        <v>2939</v>
      </c>
      <c r="B43" s="622"/>
      <c r="C43" s="2636" t="e">
        <f>R43</f>
        <v>#DIV/0!</v>
      </c>
      <c r="D43" s="2636"/>
      <c r="E43" s="2636"/>
      <c r="F43" s="2636"/>
      <c r="G43" s="2636"/>
      <c r="H43" s="2636"/>
      <c r="I43" s="2636"/>
      <c r="J43" s="2636"/>
      <c r="K43" s="1612"/>
      <c r="L43" s="2144"/>
      <c r="M43" s="2145"/>
      <c r="N43" s="2145"/>
      <c r="O43" s="2145"/>
      <c r="P43" s="3366" t="str">
        <f>A43</f>
        <v>估价对象XX用房的比较价格（楼面单价，元/平方米）</v>
      </c>
      <c r="Q43" s="3367"/>
      <c r="R43" s="3482" t="e">
        <f>IF(F1="售价",ROUND(AVERAGE(R42:V42),0),ROUND(AVERAGE(R42:V42),1))</f>
        <v>#DIV/0!</v>
      </c>
      <c r="S43" s="3482"/>
      <c r="T43" s="3482"/>
      <c r="U43" s="3482"/>
      <c r="V43" s="3482"/>
      <c r="W43" s="348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75" t="s">
        <v>797</v>
      </c>
      <c r="D4" s="3376"/>
      <c r="E4" s="3375" t="s">
        <v>798</v>
      </c>
      <c r="F4" s="3376"/>
      <c r="G4" s="3375" t="s">
        <v>799</v>
      </c>
      <c r="H4" s="3376"/>
      <c r="I4" s="3375" t="s">
        <v>800</v>
      </c>
      <c r="J4" s="3376"/>
      <c r="K4" s="514" t="s">
        <v>801</v>
      </c>
      <c r="L4" s="2133"/>
      <c r="M4" s="2134"/>
      <c r="N4" s="2134"/>
      <c r="O4" s="2134"/>
      <c r="P4" s="3377" t="s">
        <v>802</v>
      </c>
      <c r="Q4" s="3378"/>
      <c r="R4" s="3383" t="s">
        <v>798</v>
      </c>
      <c r="S4" s="3384"/>
      <c r="T4" s="3383" t="s">
        <v>799</v>
      </c>
      <c r="U4" s="3384"/>
      <c r="V4" s="3370" t="s">
        <v>800</v>
      </c>
      <c r="W4" s="3370"/>
      <c r="X4" s="1566"/>
      <c r="Y4" s="3383" t="s">
        <v>802</v>
      </c>
      <c r="Z4" s="3384"/>
      <c r="AA4" s="3372" t="s">
        <v>798</v>
      </c>
      <c r="AB4" s="3373" t="s">
        <v>799</v>
      </c>
      <c r="AC4" s="3372" t="s">
        <v>800</v>
      </c>
    </row>
    <row r="5" spans="1:29" ht="15">
      <c r="A5" s="515"/>
      <c r="B5" s="516"/>
      <c r="C5" s="3407" t="s">
        <v>2933</v>
      </c>
      <c r="D5" s="3392"/>
      <c r="E5" s="3407" t="s">
        <v>2934</v>
      </c>
      <c r="F5" s="3392"/>
      <c r="G5" s="3407" t="s">
        <v>2935</v>
      </c>
      <c r="H5" s="3392"/>
      <c r="I5" s="3407" t="s">
        <v>2936</v>
      </c>
      <c r="J5" s="3392"/>
      <c r="K5" s="514"/>
      <c r="L5" s="2133"/>
      <c r="M5" s="2134"/>
      <c r="N5" s="2134"/>
      <c r="O5" s="2134"/>
      <c r="P5" s="3379"/>
      <c r="Q5" s="3380"/>
      <c r="R5" s="3385"/>
      <c r="S5" s="3386"/>
      <c r="T5" s="3385"/>
      <c r="U5" s="3386"/>
      <c r="V5" s="3370"/>
      <c r="W5" s="3370"/>
      <c r="X5" s="1566"/>
      <c r="Y5" s="3385"/>
      <c r="Z5" s="3386"/>
      <c r="AA5" s="3373"/>
      <c r="AB5" s="3373"/>
      <c r="AC5" s="3373"/>
    </row>
    <row r="6" spans="1:29" ht="15.75" thickBot="1">
      <c r="A6" s="517"/>
      <c r="B6" s="518"/>
      <c r="C6" s="3389" t="s">
        <v>2937</v>
      </c>
      <c r="D6" s="3390"/>
      <c r="E6" s="3393" t="s">
        <v>2937</v>
      </c>
      <c r="F6" s="3394"/>
      <c r="G6" s="3389" t="s">
        <v>2937</v>
      </c>
      <c r="H6" s="3390"/>
      <c r="I6" s="3389" t="s">
        <v>2937</v>
      </c>
      <c r="J6" s="3390"/>
      <c r="K6" s="514" t="s">
        <v>527</v>
      </c>
      <c r="L6" s="2133"/>
      <c r="M6" s="2134"/>
      <c r="N6" s="2134"/>
      <c r="O6" s="2134"/>
      <c r="P6" s="3381"/>
      <c r="Q6" s="3382"/>
      <c r="R6" s="3385"/>
      <c r="S6" s="3386"/>
      <c r="T6" s="3387"/>
      <c r="U6" s="3388"/>
      <c r="V6" s="3370"/>
      <c r="W6" s="3370"/>
      <c r="X6" s="1566"/>
      <c r="Y6" s="3387"/>
      <c r="Z6" s="3388"/>
      <c r="AA6" s="3374"/>
      <c r="AB6" s="3374"/>
      <c r="AC6" s="3374"/>
    </row>
    <row r="7" spans="1:29" s="1219" customFormat="1" ht="15.75" thickBot="1">
      <c r="A7" s="2912"/>
      <c r="B7" s="2919" t="s">
        <v>528</v>
      </c>
      <c r="C7" s="519">
        <f>'数据-取费表'!B2</f>
        <v>43334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0" t="s">
        <v>529</v>
      </c>
      <c r="Q7" s="3402"/>
      <c r="R7" s="1567" t="s">
        <v>8</v>
      </c>
      <c r="S7" s="1568">
        <f t="shared" ref="S7:S14" si="0">F7</f>
        <v>0</v>
      </c>
      <c r="T7" s="1567" t="s">
        <v>8</v>
      </c>
      <c r="U7" s="1568">
        <f t="shared" ref="U7:U14" si="1">H7</f>
        <v>0</v>
      </c>
      <c r="V7" s="1567" t="s">
        <v>8</v>
      </c>
      <c r="W7" s="1568">
        <f t="shared" ref="W7:W14" si="2">J7</f>
        <v>0</v>
      </c>
      <c r="X7" s="1569"/>
      <c r="Y7" s="3400" t="s">
        <v>529</v>
      </c>
      <c r="Z7" s="3401"/>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0" t="s">
        <v>532</v>
      </c>
      <c r="Q8" s="3401"/>
      <c r="R8" s="1567" t="s">
        <v>8</v>
      </c>
      <c r="S8" s="1568">
        <f t="shared" si="0"/>
        <v>0</v>
      </c>
      <c r="T8" s="1567" t="s">
        <v>8</v>
      </c>
      <c r="U8" s="1568">
        <f t="shared" si="1"/>
        <v>0</v>
      </c>
      <c r="V8" s="1567" t="s">
        <v>8</v>
      </c>
      <c r="W8" s="1568">
        <f t="shared" si="2"/>
        <v>0</v>
      </c>
      <c r="X8" s="1569"/>
      <c r="Y8" s="3400" t="s">
        <v>532</v>
      </c>
      <c r="Z8" s="3401"/>
      <c r="AA8" s="1570" t="e">
        <f t="shared" ref="AA8:AA36" si="3">D8/F8</f>
        <v>#DIV/0!</v>
      </c>
      <c r="AB8" s="1570" t="e">
        <f t="shared" ref="AB8:AB36" si="4">D8/H8</f>
        <v>#DIV/0!</v>
      </c>
      <c r="AC8" s="1570"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9" t="s">
        <v>534</v>
      </c>
      <c r="Q9" s="1150" t="str">
        <f t="shared" ref="Q9:Q14" si="6">B9</f>
        <v>用途</v>
      </c>
      <c r="R9" s="1567" t="s">
        <v>8</v>
      </c>
      <c r="S9" s="1568">
        <f t="shared" si="0"/>
        <v>100</v>
      </c>
      <c r="T9" s="1567" t="s">
        <v>8</v>
      </c>
      <c r="U9" s="1568">
        <f t="shared" si="1"/>
        <v>100</v>
      </c>
      <c r="V9" s="1567" t="s">
        <v>8</v>
      </c>
      <c r="W9" s="1568">
        <f t="shared" si="2"/>
        <v>100</v>
      </c>
      <c r="X9" s="1569"/>
      <c r="Y9" s="3315"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9"/>
      <c r="Q10" s="1150" t="str">
        <f t="shared" si="6"/>
        <v>土地使用年限（年）</v>
      </c>
      <c r="R10" s="1567" t="s">
        <v>8</v>
      </c>
      <c r="S10" s="1568">
        <f t="shared" si="0"/>
        <v>100</v>
      </c>
      <c r="T10" s="1567" t="s">
        <v>8</v>
      </c>
      <c r="U10" s="1568">
        <f t="shared" si="1"/>
        <v>100</v>
      </c>
      <c r="V10" s="1567" t="s">
        <v>8</v>
      </c>
      <c r="W10" s="1568">
        <f t="shared" si="2"/>
        <v>100</v>
      </c>
      <c r="X10" s="1569"/>
      <c r="Y10" s="3315"/>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9"/>
      <c r="Q11" s="1150">
        <f t="shared" si="6"/>
        <v>111</v>
      </c>
      <c r="R11" s="1567" t="s">
        <v>8</v>
      </c>
      <c r="S11" s="1568">
        <f t="shared" si="0"/>
        <v>100</v>
      </c>
      <c r="T11" s="1567" t="s">
        <v>8</v>
      </c>
      <c r="U11" s="1568">
        <f t="shared" si="1"/>
        <v>100</v>
      </c>
      <c r="V11" s="1567" t="s">
        <v>8</v>
      </c>
      <c r="W11" s="1568">
        <f t="shared" si="2"/>
        <v>100</v>
      </c>
      <c r="X11" s="1569"/>
      <c r="Y11" s="3315"/>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9"/>
      <c r="Q12" s="1150">
        <f t="shared" si="6"/>
        <v>111</v>
      </c>
      <c r="R12" s="1567" t="s">
        <v>8</v>
      </c>
      <c r="S12" s="1568">
        <f t="shared" si="0"/>
        <v>100</v>
      </c>
      <c r="T12" s="1567" t="s">
        <v>8</v>
      </c>
      <c r="U12" s="1568">
        <f t="shared" si="1"/>
        <v>100</v>
      </c>
      <c r="V12" s="1567" t="s">
        <v>8</v>
      </c>
      <c r="W12" s="1568">
        <f t="shared" si="2"/>
        <v>100</v>
      </c>
      <c r="X12" s="1569"/>
      <c r="Y12" s="3315"/>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9"/>
      <c r="Q13" s="1150">
        <f t="shared" si="6"/>
        <v>111</v>
      </c>
      <c r="R13" s="1567" t="s">
        <v>8</v>
      </c>
      <c r="S13" s="1568">
        <f t="shared" si="0"/>
        <v>100</v>
      </c>
      <c r="T13" s="1567" t="s">
        <v>8</v>
      </c>
      <c r="U13" s="1568">
        <f t="shared" si="1"/>
        <v>100</v>
      </c>
      <c r="V13" s="1567" t="s">
        <v>8</v>
      </c>
      <c r="W13" s="1568">
        <f t="shared" si="2"/>
        <v>100</v>
      </c>
      <c r="X13" s="1569"/>
      <c r="Y13" s="3315"/>
      <c r="Z13" s="1149">
        <f t="shared" si="7"/>
        <v>111</v>
      </c>
      <c r="AA13" s="1570">
        <f t="shared" si="3"/>
        <v>1</v>
      </c>
      <c r="AB13" s="1570">
        <f t="shared" si="4"/>
        <v>1</v>
      </c>
      <c r="AC13" s="1570">
        <f t="shared" si="5"/>
        <v>1</v>
      </c>
    </row>
    <row r="14" spans="1:29" ht="85.5">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3" t="s">
        <v>539</v>
      </c>
      <c r="Q14" s="1571" t="str">
        <f t="shared" si="6"/>
        <v>交通便捷度</v>
      </c>
      <c r="R14" s="1572" t="s">
        <v>8</v>
      </c>
      <c r="S14" s="1573">
        <f t="shared" si="0"/>
        <v>100</v>
      </c>
      <c r="T14" s="1572" t="s">
        <v>8</v>
      </c>
      <c r="U14" s="1573">
        <f t="shared" si="1"/>
        <v>100</v>
      </c>
      <c r="V14" s="1572" t="s">
        <v>8</v>
      </c>
      <c r="W14" s="1573">
        <f t="shared" si="2"/>
        <v>100</v>
      </c>
      <c r="X14" s="1566"/>
      <c r="Y14" s="3403"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04"/>
      <c r="Q15" s="1571"/>
      <c r="R15" s="1572"/>
      <c r="S15" s="1573"/>
      <c r="T15" s="1572"/>
      <c r="U15" s="1573"/>
      <c r="V15" s="1572"/>
      <c r="W15" s="1573"/>
      <c r="X15" s="1566"/>
      <c r="Y15" s="3404"/>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4"/>
      <c r="Q16" s="1571" t="str">
        <f>B16</f>
        <v>公共配套设施</v>
      </c>
      <c r="R16" s="1572" t="s">
        <v>8</v>
      </c>
      <c r="S16" s="1573">
        <f>F16</f>
        <v>100</v>
      </c>
      <c r="T16" s="1572" t="s">
        <v>8</v>
      </c>
      <c r="U16" s="1573">
        <f>H16</f>
        <v>100</v>
      </c>
      <c r="V16" s="1572" t="s">
        <v>8</v>
      </c>
      <c r="W16" s="1573">
        <f>J16</f>
        <v>100</v>
      </c>
      <c r="X16" s="1566"/>
      <c r="Y16" s="3404"/>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04"/>
      <c r="Q17" s="1571"/>
      <c r="R17" s="1572"/>
      <c r="S17" s="1573"/>
      <c r="T17" s="1572"/>
      <c r="U17" s="1573"/>
      <c r="V17" s="1572"/>
      <c r="W17" s="1573"/>
      <c r="X17" s="1566"/>
      <c r="Y17" s="3404"/>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4"/>
      <c r="Q18" s="2579" t="str">
        <f>B18</f>
        <v>基础设施水平</v>
      </c>
      <c r="R18" s="1572" t="s">
        <v>8</v>
      </c>
      <c r="S18" s="1573">
        <f>F18</f>
        <v>100</v>
      </c>
      <c r="T18" s="1572" t="s">
        <v>8</v>
      </c>
      <c r="U18" s="1573">
        <f>H18</f>
        <v>100</v>
      </c>
      <c r="V18" s="1572" t="s">
        <v>8</v>
      </c>
      <c r="W18" s="1573">
        <f>J18</f>
        <v>100</v>
      </c>
      <c r="X18" s="2581"/>
      <c r="Y18" s="3404"/>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04"/>
      <c r="Q19" s="2579"/>
      <c r="R19" s="1572"/>
      <c r="S19" s="1573"/>
      <c r="T19" s="1572"/>
      <c r="U19" s="1573"/>
      <c r="V19" s="1572"/>
      <c r="W19" s="1573"/>
      <c r="X19" s="2581"/>
      <c r="Y19" s="3404"/>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4"/>
      <c r="Q20" s="1571" t="str">
        <f>B20</f>
        <v>自然及人文环境</v>
      </c>
      <c r="R20" s="1572" t="s">
        <v>8</v>
      </c>
      <c r="S20" s="1573">
        <f>F20</f>
        <v>100</v>
      </c>
      <c r="T20" s="1572" t="s">
        <v>8</v>
      </c>
      <c r="U20" s="1573">
        <f>H20</f>
        <v>100</v>
      </c>
      <c r="V20" s="1572" t="s">
        <v>8</v>
      </c>
      <c r="W20" s="1573">
        <f>J20</f>
        <v>100</v>
      </c>
      <c r="X20" s="1566"/>
      <c r="Y20" s="3404"/>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04"/>
      <c r="Q21" s="1571"/>
      <c r="R21" s="1572"/>
      <c r="S21" s="1573"/>
      <c r="T21" s="1572"/>
      <c r="U21" s="1573"/>
      <c r="V21" s="1572"/>
      <c r="W21" s="1573"/>
      <c r="X21" s="1566"/>
      <c r="Y21" s="3404"/>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4"/>
      <c r="Q22" s="1571" t="str">
        <f>B22</f>
        <v>楼层</v>
      </c>
      <c r="R22" s="1572" t="s">
        <v>8</v>
      </c>
      <c r="S22" s="1573">
        <f>F22</f>
        <v>100</v>
      </c>
      <c r="T22" s="1572" t="s">
        <v>8</v>
      </c>
      <c r="U22" s="1573">
        <f>H22</f>
        <v>100</v>
      </c>
      <c r="V22" s="1572" t="s">
        <v>8</v>
      </c>
      <c r="W22" s="1573">
        <f>J22</f>
        <v>100</v>
      </c>
      <c r="X22" s="1566"/>
      <c r="Y22" s="3404"/>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4"/>
      <c r="Q23" s="1571">
        <f>B23</f>
        <v>111</v>
      </c>
      <c r="R23" s="1572" t="s">
        <v>8</v>
      </c>
      <c r="S23" s="1573">
        <f>F23</f>
        <v>100</v>
      </c>
      <c r="T23" s="1572" t="s">
        <v>8</v>
      </c>
      <c r="U23" s="1573">
        <f>H23</f>
        <v>100</v>
      </c>
      <c r="V23" s="1572" t="s">
        <v>8</v>
      </c>
      <c r="W23" s="1573">
        <f>J23</f>
        <v>100</v>
      </c>
      <c r="X23" s="1566"/>
      <c r="Y23" s="3404"/>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4"/>
      <c r="Q24" s="1571">
        <f t="shared" ref="Q24:Q36" si="11">B24</f>
        <v>111</v>
      </c>
      <c r="R24" s="1572" t="s">
        <v>8</v>
      </c>
      <c r="S24" s="1573">
        <f>F24</f>
        <v>100</v>
      </c>
      <c r="T24" s="1572" t="s">
        <v>8</v>
      </c>
      <c r="U24" s="1573">
        <f>H24</f>
        <v>100</v>
      </c>
      <c r="V24" s="1572" t="s">
        <v>8</v>
      </c>
      <c r="W24" s="1573">
        <f>J24</f>
        <v>100</v>
      </c>
      <c r="X24" s="1566"/>
      <c r="Y24" s="3404"/>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4"/>
      <c r="Q25" s="1150">
        <f t="shared" si="11"/>
        <v>111</v>
      </c>
      <c r="R25" s="1567" t="s">
        <v>8</v>
      </c>
      <c r="S25" s="1568">
        <f>F25</f>
        <v>100</v>
      </c>
      <c r="T25" s="1567" t="s">
        <v>8</v>
      </c>
      <c r="U25" s="1568">
        <f>H25</f>
        <v>100</v>
      </c>
      <c r="V25" s="1567" t="s">
        <v>8</v>
      </c>
      <c r="W25" s="1568">
        <f>J25</f>
        <v>100</v>
      </c>
      <c r="X25" s="1569"/>
      <c r="Y25" s="3404"/>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5"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6"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6"/>
      <c r="Q27" s="1604" t="str">
        <f t="shared" si="11"/>
        <v>项目停车位配比</v>
      </c>
      <c r="R27" s="1576" t="s">
        <v>8</v>
      </c>
      <c r="S27" s="1577">
        <f t="shared" si="12"/>
        <v>100</v>
      </c>
      <c r="T27" s="1576" t="s">
        <v>8</v>
      </c>
      <c r="U27" s="1577">
        <f t="shared" si="13"/>
        <v>100</v>
      </c>
      <c r="V27" s="1576" t="s">
        <v>8</v>
      </c>
      <c r="W27" s="1577">
        <f t="shared" si="14"/>
        <v>100</v>
      </c>
      <c r="X27" s="1578"/>
      <c r="Y27" s="3406"/>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6"/>
      <c r="Q28" s="1571" t="str">
        <f t="shared" si="11"/>
        <v>公共部分装修</v>
      </c>
      <c r="R28" s="1572" t="s">
        <v>8</v>
      </c>
      <c r="S28" s="1573">
        <f t="shared" si="12"/>
        <v>100</v>
      </c>
      <c r="T28" s="1572" t="s">
        <v>8</v>
      </c>
      <c r="U28" s="1573">
        <f t="shared" si="13"/>
        <v>100</v>
      </c>
      <c r="V28" s="1572" t="s">
        <v>8</v>
      </c>
      <c r="W28" s="1573">
        <f t="shared" si="14"/>
        <v>100</v>
      </c>
      <c r="X28" s="1566"/>
      <c r="Y28" s="3406"/>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06"/>
      <c r="Q29" s="1571" t="str">
        <f t="shared" si="11"/>
        <v>成新率</v>
      </c>
      <c r="R29" s="1572" t="s">
        <v>8</v>
      </c>
      <c r="S29" s="1573" t="e">
        <f t="shared" si="12"/>
        <v>#N/A</v>
      </c>
      <c r="T29" s="1572" t="s">
        <v>8</v>
      </c>
      <c r="U29" s="1573" t="e">
        <f t="shared" si="13"/>
        <v>#N/A</v>
      </c>
      <c r="V29" s="1572" t="s">
        <v>8</v>
      </c>
      <c r="W29" s="1573" t="e">
        <f t="shared" si="14"/>
        <v>#N/A</v>
      </c>
      <c r="X29" s="1566"/>
      <c r="Y29" s="3406"/>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6"/>
      <c r="Q30" s="1571" t="str">
        <f t="shared" si="11"/>
        <v>物业等级</v>
      </c>
      <c r="R30" s="1572" t="s">
        <v>8</v>
      </c>
      <c r="S30" s="1573">
        <f t="shared" si="12"/>
        <v>100</v>
      </c>
      <c r="T30" s="1572" t="s">
        <v>8</v>
      </c>
      <c r="U30" s="1573">
        <f t="shared" si="13"/>
        <v>100</v>
      </c>
      <c r="V30" s="1572" t="s">
        <v>8</v>
      </c>
      <c r="W30" s="1573">
        <f t="shared" si="14"/>
        <v>100</v>
      </c>
      <c r="X30" s="1566"/>
      <c r="Y30" s="3406"/>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6"/>
      <c r="Q31" s="1150" t="str">
        <f t="shared" si="11"/>
        <v>停车位面积</v>
      </c>
      <c r="R31" s="1567" t="s">
        <v>8</v>
      </c>
      <c r="S31" s="1568" t="e">
        <f t="shared" si="12"/>
        <v>#N/A</v>
      </c>
      <c r="T31" s="1567" t="s">
        <v>8</v>
      </c>
      <c r="U31" s="1568" t="e">
        <f t="shared" si="13"/>
        <v>#N/A</v>
      </c>
      <c r="V31" s="1567" t="s">
        <v>8</v>
      </c>
      <c r="W31" s="1568" t="e">
        <f t="shared" si="14"/>
        <v>#N/A</v>
      </c>
      <c r="X31" s="1569"/>
      <c r="Y31" s="3406"/>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6" t="s">
        <v>549</v>
      </c>
      <c r="Q32" s="1571" t="str">
        <f t="shared" si="11"/>
        <v>车位类型</v>
      </c>
      <c r="R32" s="1572" t="s">
        <v>8</v>
      </c>
      <c r="S32" s="1573">
        <f t="shared" si="12"/>
        <v>100</v>
      </c>
      <c r="T32" s="1572" t="s">
        <v>8</v>
      </c>
      <c r="U32" s="1573">
        <f t="shared" si="13"/>
        <v>100</v>
      </c>
      <c r="V32" s="1572" t="s">
        <v>8</v>
      </c>
      <c r="W32" s="1573">
        <f t="shared" si="14"/>
        <v>100</v>
      </c>
      <c r="X32" s="1566"/>
      <c r="Y32" s="3406"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6"/>
      <c r="Q33" s="1571" t="str">
        <f t="shared" si="11"/>
        <v>是否直接入户</v>
      </c>
      <c r="R33" s="1572" t="s">
        <v>8</v>
      </c>
      <c r="S33" s="1573">
        <f t="shared" si="12"/>
        <v>100</v>
      </c>
      <c r="T33" s="1572" t="s">
        <v>8</v>
      </c>
      <c r="U33" s="1573">
        <f t="shared" si="13"/>
        <v>100</v>
      </c>
      <c r="V33" s="1572" t="s">
        <v>8</v>
      </c>
      <c r="W33" s="1573">
        <f t="shared" si="14"/>
        <v>100</v>
      </c>
      <c r="X33" s="1566"/>
      <c r="Y33" s="3406"/>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6"/>
      <c r="Q34" s="1571">
        <f t="shared" si="11"/>
        <v>111</v>
      </c>
      <c r="R34" s="1572" t="s">
        <v>8</v>
      </c>
      <c r="S34" s="1573">
        <f t="shared" si="12"/>
        <v>100</v>
      </c>
      <c r="T34" s="1572" t="s">
        <v>8</v>
      </c>
      <c r="U34" s="1573">
        <f t="shared" si="13"/>
        <v>100</v>
      </c>
      <c r="V34" s="1572" t="s">
        <v>8</v>
      </c>
      <c r="W34" s="1573">
        <f t="shared" si="14"/>
        <v>100</v>
      </c>
      <c r="X34" s="1566"/>
      <c r="Y34" s="3406"/>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6"/>
      <c r="Q35" s="1604">
        <f t="shared" si="11"/>
        <v>111</v>
      </c>
      <c r="R35" s="1576" t="s">
        <v>8</v>
      </c>
      <c r="S35" s="1577">
        <f t="shared" si="12"/>
        <v>100</v>
      </c>
      <c r="T35" s="1576" t="s">
        <v>8</v>
      </c>
      <c r="U35" s="1577">
        <f t="shared" si="13"/>
        <v>100</v>
      </c>
      <c r="V35" s="1576" t="s">
        <v>8</v>
      </c>
      <c r="W35" s="1577">
        <f t="shared" si="14"/>
        <v>100</v>
      </c>
      <c r="X35" s="1578"/>
      <c r="Y35" s="3406"/>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6"/>
      <c r="Q36" s="1571">
        <f t="shared" si="11"/>
        <v>111</v>
      </c>
      <c r="R36" s="1572" t="s">
        <v>8</v>
      </c>
      <c r="S36" s="1573">
        <f t="shared" si="12"/>
        <v>100</v>
      </c>
      <c r="T36" s="1572" t="s">
        <v>8</v>
      </c>
      <c r="U36" s="1573">
        <f t="shared" si="13"/>
        <v>100</v>
      </c>
      <c r="V36" s="1572" t="s">
        <v>8</v>
      </c>
      <c r="W36" s="1573">
        <f t="shared" si="14"/>
        <v>100</v>
      </c>
      <c r="X36" s="1566"/>
      <c r="Y36" s="3406"/>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69" t="str">
        <f>A37</f>
        <v>成交单价</v>
      </c>
      <c r="Q37" s="3369"/>
      <c r="R37" s="3483">
        <f>E37</f>
        <v>0</v>
      </c>
      <c r="S37" s="3483"/>
      <c r="T37" s="3483">
        <f>G37</f>
        <v>0</v>
      </c>
      <c r="U37" s="3483"/>
      <c r="V37" s="3483">
        <f>I37</f>
        <v>0</v>
      </c>
      <c r="W37" s="3483"/>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369" t="str">
        <f>A38</f>
        <v>比较价格（元/平方米）</v>
      </c>
      <c r="Q38" s="3369"/>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58"/>
      <c r="Y38" s="1558"/>
      <c r="Z38" s="1558"/>
      <c r="AA38" s="1558"/>
      <c r="AB38" s="1558"/>
      <c r="AC38" s="1558"/>
    </row>
    <row r="39" spans="1:29" ht="15.75" thickBot="1">
      <c r="A39" s="621" t="s">
        <v>2939</v>
      </c>
      <c r="B39" s="622"/>
      <c r="C39" s="2636" t="e">
        <f>R39</f>
        <v>#DIV/0!</v>
      </c>
      <c r="D39" s="2636"/>
      <c r="E39" s="2636"/>
      <c r="F39" s="2636"/>
      <c r="G39" s="2636"/>
      <c r="H39" s="2636"/>
      <c r="I39" s="2636"/>
      <c r="J39" s="2636"/>
      <c r="K39" s="1612"/>
      <c r="L39" s="2144"/>
      <c r="M39" s="2145"/>
      <c r="N39" s="2145"/>
      <c r="O39" s="2145"/>
      <c r="P39" s="3366" t="str">
        <f>A39</f>
        <v>估价对象XX用房的比较价格（楼面单价，元/平方米）</v>
      </c>
      <c r="Q39" s="3367"/>
      <c r="R39" s="3482" t="e">
        <f>IF(F1="售价",ROUND(AVERAGE(R38:V38),0),ROUND(AVERAGE(R38:V38),1))</f>
        <v>#DIV/0!</v>
      </c>
      <c r="S39" s="3482"/>
      <c r="T39" s="3482"/>
      <c r="U39" s="3482"/>
      <c r="V39" s="3482"/>
      <c r="W39" s="348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75" t="s">
        <v>797</v>
      </c>
      <c r="D4" s="3376"/>
      <c r="E4" s="3410" t="s">
        <v>798</v>
      </c>
      <c r="F4" s="3411"/>
      <c r="G4" s="3375" t="s">
        <v>799</v>
      </c>
      <c r="H4" s="3376"/>
      <c r="I4" s="3375" t="s">
        <v>800</v>
      </c>
      <c r="J4" s="3376"/>
      <c r="K4" s="514" t="s">
        <v>801</v>
      </c>
      <c r="L4" s="2133"/>
      <c r="M4" s="2134"/>
      <c r="N4" s="2134"/>
      <c r="O4" s="2134"/>
      <c r="P4" s="3377" t="s">
        <v>802</v>
      </c>
      <c r="Q4" s="3378"/>
      <c r="R4" s="3383" t="s">
        <v>798</v>
      </c>
      <c r="S4" s="3384"/>
      <c r="T4" s="3383" t="s">
        <v>799</v>
      </c>
      <c r="U4" s="3384"/>
      <c r="V4" s="3370" t="s">
        <v>800</v>
      </c>
      <c r="W4" s="3370"/>
      <c r="X4" s="1566"/>
      <c r="Y4" s="3383" t="s">
        <v>802</v>
      </c>
      <c r="Z4" s="3384"/>
      <c r="AA4" s="3372" t="s">
        <v>798</v>
      </c>
      <c r="AB4" s="3373" t="s">
        <v>799</v>
      </c>
      <c r="AC4" s="3372" t="s">
        <v>800</v>
      </c>
    </row>
    <row r="5" spans="1:29" ht="15">
      <c r="A5" s="515"/>
      <c r="B5" s="516"/>
      <c r="C5" s="3407" t="s">
        <v>2933</v>
      </c>
      <c r="D5" s="3392"/>
      <c r="E5" s="3412" t="s">
        <v>2934</v>
      </c>
      <c r="F5" s="3413"/>
      <c r="G5" s="3407" t="s">
        <v>2935</v>
      </c>
      <c r="H5" s="3392"/>
      <c r="I5" s="3407" t="s">
        <v>2936</v>
      </c>
      <c r="J5" s="3392"/>
      <c r="K5" s="514"/>
      <c r="L5" s="2133"/>
      <c r="M5" s="2134"/>
      <c r="N5" s="2134"/>
      <c r="O5" s="2134"/>
      <c r="P5" s="3379"/>
      <c r="Q5" s="3380"/>
      <c r="R5" s="3385"/>
      <c r="S5" s="3386"/>
      <c r="T5" s="3385"/>
      <c r="U5" s="3386"/>
      <c r="V5" s="3370"/>
      <c r="W5" s="3370"/>
      <c r="X5" s="1566"/>
      <c r="Y5" s="3385"/>
      <c r="Z5" s="3386"/>
      <c r="AA5" s="3373"/>
      <c r="AB5" s="3373"/>
      <c r="AC5" s="3373"/>
    </row>
    <row r="6" spans="1:29" ht="15.75" thickBot="1">
      <c r="A6" s="517"/>
      <c r="B6" s="518"/>
      <c r="C6" s="3389" t="s">
        <v>2937</v>
      </c>
      <c r="D6" s="3390"/>
      <c r="E6" s="3408" t="s">
        <v>2937</v>
      </c>
      <c r="F6" s="3409"/>
      <c r="G6" s="3389" t="s">
        <v>2937</v>
      </c>
      <c r="H6" s="3390"/>
      <c r="I6" s="3389" t="s">
        <v>2937</v>
      </c>
      <c r="J6" s="3390"/>
      <c r="K6" s="514" t="s">
        <v>527</v>
      </c>
      <c r="L6" s="2133"/>
      <c r="M6" s="2134"/>
      <c r="N6" s="2134"/>
      <c r="O6" s="2134"/>
      <c r="P6" s="3381"/>
      <c r="Q6" s="3382"/>
      <c r="R6" s="3385"/>
      <c r="S6" s="3386"/>
      <c r="T6" s="3387"/>
      <c r="U6" s="3388"/>
      <c r="V6" s="3370"/>
      <c r="W6" s="3370"/>
      <c r="X6" s="1566"/>
      <c r="Y6" s="3387"/>
      <c r="Z6" s="3388"/>
      <c r="AA6" s="3374"/>
      <c r="AB6" s="3374"/>
      <c r="AC6" s="3374"/>
    </row>
    <row r="7" spans="1:29" s="1219" customFormat="1" ht="15.75" thickBot="1">
      <c r="A7" s="2912"/>
      <c r="B7" s="2919" t="s">
        <v>528</v>
      </c>
      <c r="C7" s="519">
        <f>'数据-取费表'!B2</f>
        <v>43334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0" t="s">
        <v>529</v>
      </c>
      <c r="Q7" s="3402"/>
      <c r="R7" s="1567" t="s">
        <v>8</v>
      </c>
      <c r="S7" s="1568">
        <f t="shared" ref="S7:S14" si="0">F7</f>
        <v>0</v>
      </c>
      <c r="T7" s="1567" t="s">
        <v>8</v>
      </c>
      <c r="U7" s="1568">
        <f t="shared" ref="U7:U14" si="1">H7</f>
        <v>0</v>
      </c>
      <c r="V7" s="1567" t="s">
        <v>8</v>
      </c>
      <c r="W7" s="1568">
        <f t="shared" ref="W7:W14" si="2">J7</f>
        <v>0</v>
      </c>
      <c r="X7" s="1569"/>
      <c r="Y7" s="3400" t="s">
        <v>529</v>
      </c>
      <c r="Z7" s="3401"/>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0" t="s">
        <v>532</v>
      </c>
      <c r="Q8" s="3401"/>
      <c r="R8" s="1567" t="s">
        <v>8</v>
      </c>
      <c r="S8" s="1568">
        <f t="shared" si="0"/>
        <v>0</v>
      </c>
      <c r="T8" s="1567" t="s">
        <v>8</v>
      </c>
      <c r="U8" s="1568">
        <f t="shared" si="1"/>
        <v>0</v>
      </c>
      <c r="V8" s="1567" t="s">
        <v>8</v>
      </c>
      <c r="W8" s="1568">
        <f t="shared" si="2"/>
        <v>0</v>
      </c>
      <c r="X8" s="1569"/>
      <c r="Y8" s="3400" t="s">
        <v>532</v>
      </c>
      <c r="Z8" s="3401"/>
      <c r="AA8" s="1570" t="e">
        <f t="shared" ref="AA8:AA34" si="3">D8/F8</f>
        <v>#DIV/0!</v>
      </c>
      <c r="AB8" s="1570" t="e">
        <f t="shared" ref="AB8:AB34" si="4">D8/H8</f>
        <v>#DIV/0!</v>
      </c>
      <c r="AC8" s="1570"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9" t="s">
        <v>534</v>
      </c>
      <c r="Q9" s="1150" t="str">
        <f t="shared" ref="Q9:Q14" si="6">B9</f>
        <v>用途</v>
      </c>
      <c r="R9" s="1567" t="s">
        <v>8</v>
      </c>
      <c r="S9" s="1568">
        <f t="shared" si="0"/>
        <v>100</v>
      </c>
      <c r="T9" s="1567" t="s">
        <v>8</v>
      </c>
      <c r="U9" s="1568">
        <f t="shared" si="1"/>
        <v>100</v>
      </c>
      <c r="V9" s="1567" t="s">
        <v>8</v>
      </c>
      <c r="W9" s="1568">
        <f t="shared" si="2"/>
        <v>100</v>
      </c>
      <c r="X9" s="1569"/>
      <c r="Y9" s="3315"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9"/>
      <c r="Q10" s="1150" t="str">
        <f t="shared" si="6"/>
        <v>土地使用年限（年）</v>
      </c>
      <c r="R10" s="1567" t="s">
        <v>8</v>
      </c>
      <c r="S10" s="1568">
        <f t="shared" si="0"/>
        <v>100</v>
      </c>
      <c r="T10" s="1567" t="s">
        <v>8</v>
      </c>
      <c r="U10" s="1568">
        <f t="shared" si="1"/>
        <v>100</v>
      </c>
      <c r="V10" s="1567" t="s">
        <v>8</v>
      </c>
      <c r="W10" s="1568">
        <f t="shared" si="2"/>
        <v>100</v>
      </c>
      <c r="X10" s="1569"/>
      <c r="Y10" s="3315"/>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9"/>
      <c r="Q11" s="1150">
        <f t="shared" si="6"/>
        <v>111</v>
      </c>
      <c r="R11" s="1567" t="s">
        <v>8</v>
      </c>
      <c r="S11" s="1568">
        <f t="shared" si="0"/>
        <v>100</v>
      </c>
      <c r="T11" s="1567" t="s">
        <v>8</v>
      </c>
      <c r="U11" s="1568">
        <f t="shared" si="1"/>
        <v>100</v>
      </c>
      <c r="V11" s="1567" t="s">
        <v>8</v>
      </c>
      <c r="W11" s="1568">
        <f t="shared" si="2"/>
        <v>100</v>
      </c>
      <c r="X11" s="1569"/>
      <c r="Y11" s="3315"/>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9"/>
      <c r="Q12" s="1150">
        <f t="shared" si="6"/>
        <v>111</v>
      </c>
      <c r="R12" s="1567" t="s">
        <v>8</v>
      </c>
      <c r="S12" s="1568">
        <f t="shared" si="0"/>
        <v>100</v>
      </c>
      <c r="T12" s="1567" t="s">
        <v>8</v>
      </c>
      <c r="U12" s="1568">
        <f t="shared" si="1"/>
        <v>100</v>
      </c>
      <c r="V12" s="1567" t="s">
        <v>8</v>
      </c>
      <c r="W12" s="1568">
        <f t="shared" si="2"/>
        <v>100</v>
      </c>
      <c r="X12" s="1569"/>
      <c r="Y12" s="3315"/>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9"/>
      <c r="Q13" s="1150">
        <f t="shared" si="6"/>
        <v>111</v>
      </c>
      <c r="R13" s="1567" t="s">
        <v>8</v>
      </c>
      <c r="S13" s="1568">
        <f t="shared" si="0"/>
        <v>100</v>
      </c>
      <c r="T13" s="1567" t="s">
        <v>8</v>
      </c>
      <c r="U13" s="1568">
        <f t="shared" si="1"/>
        <v>100</v>
      </c>
      <c r="V13" s="1567" t="s">
        <v>8</v>
      </c>
      <c r="W13" s="1568">
        <f t="shared" si="2"/>
        <v>100</v>
      </c>
      <c r="X13" s="1569"/>
      <c r="Y13" s="3315"/>
      <c r="Z13" s="1149">
        <f t="shared" si="7"/>
        <v>111</v>
      </c>
      <c r="AA13" s="1570">
        <f t="shared" si="3"/>
        <v>1</v>
      </c>
      <c r="AB13" s="1570">
        <f t="shared" si="4"/>
        <v>1</v>
      </c>
      <c r="AC13" s="1570">
        <f t="shared" si="5"/>
        <v>1</v>
      </c>
    </row>
    <row r="14" spans="1:29" ht="85.5">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3" t="s">
        <v>539</v>
      </c>
      <c r="Q14" s="1571" t="str">
        <f t="shared" si="6"/>
        <v>交通便捷度</v>
      </c>
      <c r="R14" s="1572" t="s">
        <v>8</v>
      </c>
      <c r="S14" s="1573">
        <f t="shared" si="0"/>
        <v>100</v>
      </c>
      <c r="T14" s="1572" t="s">
        <v>8</v>
      </c>
      <c r="U14" s="1573">
        <f t="shared" si="1"/>
        <v>100</v>
      </c>
      <c r="V14" s="1572" t="s">
        <v>8</v>
      </c>
      <c r="W14" s="1573">
        <f t="shared" si="2"/>
        <v>100</v>
      </c>
      <c r="X14" s="1566"/>
      <c r="Y14" s="3403"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04"/>
      <c r="Q15" s="1571"/>
      <c r="R15" s="1572"/>
      <c r="S15" s="1573"/>
      <c r="T15" s="1572"/>
      <c r="U15" s="1573"/>
      <c r="V15" s="1572"/>
      <c r="W15" s="1573"/>
      <c r="X15" s="1566"/>
      <c r="Y15" s="3404"/>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4"/>
      <c r="Q16" s="1571" t="str">
        <f>B16</f>
        <v>公共配套设施</v>
      </c>
      <c r="R16" s="1572" t="s">
        <v>8</v>
      </c>
      <c r="S16" s="1573">
        <f>F16</f>
        <v>100</v>
      </c>
      <c r="T16" s="1572" t="s">
        <v>8</v>
      </c>
      <c r="U16" s="1573">
        <f>H16</f>
        <v>100</v>
      </c>
      <c r="V16" s="1572" t="s">
        <v>8</v>
      </c>
      <c r="W16" s="1573">
        <f>J16</f>
        <v>100</v>
      </c>
      <c r="X16" s="1566"/>
      <c r="Y16" s="3404"/>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04"/>
      <c r="Q17" s="1571"/>
      <c r="R17" s="1572"/>
      <c r="S17" s="1573"/>
      <c r="T17" s="1572"/>
      <c r="U17" s="1573"/>
      <c r="V17" s="1572"/>
      <c r="W17" s="1573"/>
      <c r="X17" s="1566"/>
      <c r="Y17" s="3404"/>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4"/>
      <c r="Q18" s="2579" t="str">
        <f>B18</f>
        <v>基础设施水平</v>
      </c>
      <c r="R18" s="1572" t="s">
        <v>8</v>
      </c>
      <c r="S18" s="1573">
        <f>F18</f>
        <v>100</v>
      </c>
      <c r="T18" s="1572" t="s">
        <v>8</v>
      </c>
      <c r="U18" s="1573">
        <f>H18</f>
        <v>100</v>
      </c>
      <c r="V18" s="1572" t="s">
        <v>8</v>
      </c>
      <c r="W18" s="1573">
        <f>J18</f>
        <v>100</v>
      </c>
      <c r="X18" s="2581"/>
      <c r="Y18" s="3404"/>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04"/>
      <c r="Q19" s="2579"/>
      <c r="R19" s="1572"/>
      <c r="S19" s="1573"/>
      <c r="T19" s="1572"/>
      <c r="U19" s="1573"/>
      <c r="V19" s="1572"/>
      <c r="W19" s="1573"/>
      <c r="X19" s="2581"/>
      <c r="Y19" s="3404"/>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4"/>
      <c r="Q20" s="1571" t="str">
        <f>B20</f>
        <v>自然及人文环境</v>
      </c>
      <c r="R20" s="1572" t="s">
        <v>8</v>
      </c>
      <c r="S20" s="1573">
        <f>F20</f>
        <v>100</v>
      </c>
      <c r="T20" s="1572" t="s">
        <v>8</v>
      </c>
      <c r="U20" s="1573">
        <f>H20</f>
        <v>100</v>
      </c>
      <c r="V20" s="1572" t="s">
        <v>8</v>
      </c>
      <c r="W20" s="1573">
        <f>J20</f>
        <v>100</v>
      </c>
      <c r="X20" s="1566"/>
      <c r="Y20" s="3404"/>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04"/>
      <c r="Q21" s="1571"/>
      <c r="R21" s="1572"/>
      <c r="S21" s="1573"/>
      <c r="T21" s="1572"/>
      <c r="U21" s="1573"/>
      <c r="V21" s="1572"/>
      <c r="W21" s="1573"/>
      <c r="X21" s="1566"/>
      <c r="Y21" s="3404"/>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4"/>
      <c r="Q22" s="1571" t="str">
        <f>B22</f>
        <v>楼层</v>
      </c>
      <c r="R22" s="1572" t="s">
        <v>8</v>
      </c>
      <c r="S22" s="1573">
        <f>F22</f>
        <v>100</v>
      </c>
      <c r="T22" s="1572" t="s">
        <v>8</v>
      </c>
      <c r="U22" s="1573">
        <f>H22</f>
        <v>100</v>
      </c>
      <c r="V22" s="1572" t="s">
        <v>8</v>
      </c>
      <c r="W22" s="1573">
        <f>J22</f>
        <v>100</v>
      </c>
      <c r="X22" s="1566"/>
      <c r="Y22" s="3404"/>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4"/>
      <c r="Q23" s="1571">
        <f>B23</f>
        <v>111</v>
      </c>
      <c r="R23" s="1572" t="s">
        <v>8</v>
      </c>
      <c r="S23" s="1573">
        <f>F23</f>
        <v>100</v>
      </c>
      <c r="T23" s="1572" t="s">
        <v>8</v>
      </c>
      <c r="U23" s="1573">
        <f>H23</f>
        <v>100</v>
      </c>
      <c r="V23" s="1572" t="s">
        <v>8</v>
      </c>
      <c r="W23" s="1573">
        <f>J23</f>
        <v>100</v>
      </c>
      <c r="X23" s="1566"/>
      <c r="Y23" s="3404"/>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4"/>
      <c r="Q24" s="1571">
        <f t="shared" ref="Q24:Q34" si="11">B24</f>
        <v>111</v>
      </c>
      <c r="R24" s="1572" t="s">
        <v>8</v>
      </c>
      <c r="S24" s="1573">
        <f>F24</f>
        <v>100</v>
      </c>
      <c r="T24" s="1572" t="s">
        <v>8</v>
      </c>
      <c r="U24" s="1573">
        <f>H24</f>
        <v>100</v>
      </c>
      <c r="V24" s="1572" t="s">
        <v>8</v>
      </c>
      <c r="W24" s="1573">
        <f>J24</f>
        <v>100</v>
      </c>
      <c r="X24" s="1566"/>
      <c r="Y24" s="3404"/>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4"/>
      <c r="Q25" s="1150">
        <f t="shared" si="11"/>
        <v>111</v>
      </c>
      <c r="R25" s="1567" t="s">
        <v>8</v>
      </c>
      <c r="S25" s="1568">
        <f>F25</f>
        <v>100</v>
      </c>
      <c r="T25" s="1567" t="s">
        <v>8</v>
      </c>
      <c r="U25" s="1568">
        <f>H25</f>
        <v>100</v>
      </c>
      <c r="V25" s="1567" t="s">
        <v>8</v>
      </c>
      <c r="W25" s="1568">
        <f>J25</f>
        <v>100</v>
      </c>
      <c r="X25" s="1569"/>
      <c r="Y25" s="3404"/>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5"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6"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6"/>
      <c r="Q27" s="1604" t="str">
        <f t="shared" si="11"/>
        <v>成新率</v>
      </c>
      <c r="R27" s="1576" t="s">
        <v>8</v>
      </c>
      <c r="S27" s="1577" t="e">
        <f t="shared" si="12"/>
        <v>#N/A</v>
      </c>
      <c r="T27" s="1576" t="s">
        <v>8</v>
      </c>
      <c r="U27" s="1577" t="e">
        <f t="shared" si="13"/>
        <v>#N/A</v>
      </c>
      <c r="V27" s="1576" t="s">
        <v>8</v>
      </c>
      <c r="W27" s="1577" t="e">
        <f t="shared" si="14"/>
        <v>#N/A</v>
      </c>
      <c r="X27" s="1578"/>
      <c r="Y27" s="3406"/>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6"/>
      <c r="Q28" s="1571" t="str">
        <f t="shared" si="11"/>
        <v>物业等级</v>
      </c>
      <c r="R28" s="1572" t="s">
        <v>8</v>
      </c>
      <c r="S28" s="1573">
        <f t="shared" si="12"/>
        <v>100</v>
      </c>
      <c r="T28" s="1572" t="s">
        <v>8</v>
      </c>
      <c r="U28" s="1573">
        <f t="shared" si="13"/>
        <v>100</v>
      </c>
      <c r="V28" s="1572" t="s">
        <v>8</v>
      </c>
      <c r="W28" s="1573">
        <f t="shared" si="14"/>
        <v>100</v>
      </c>
      <c r="X28" s="1566"/>
      <c r="Y28" s="3406"/>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6"/>
      <c r="Q29" s="1571" t="str">
        <f t="shared" si="11"/>
        <v>有无电梯</v>
      </c>
      <c r="R29" s="1572" t="s">
        <v>8</v>
      </c>
      <c r="S29" s="1573">
        <f t="shared" si="12"/>
        <v>100</v>
      </c>
      <c r="T29" s="1572" t="s">
        <v>8</v>
      </c>
      <c r="U29" s="1573">
        <f t="shared" si="13"/>
        <v>100</v>
      </c>
      <c r="V29" s="1572" t="s">
        <v>8</v>
      </c>
      <c r="W29" s="1573">
        <f t="shared" si="14"/>
        <v>100</v>
      </c>
      <c r="X29" s="1566"/>
      <c r="Y29" s="3406"/>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6"/>
      <c r="Q30" s="1571" t="str">
        <f t="shared" si="11"/>
        <v>建筑面积</v>
      </c>
      <c r="R30" s="1572" t="s">
        <v>8</v>
      </c>
      <c r="S30" s="1573" t="e">
        <f t="shared" si="12"/>
        <v>#N/A</v>
      </c>
      <c r="T30" s="1572" t="s">
        <v>8</v>
      </c>
      <c r="U30" s="1573" t="e">
        <f t="shared" si="13"/>
        <v>#N/A</v>
      </c>
      <c r="V30" s="1572" t="s">
        <v>8</v>
      </c>
      <c r="W30" s="1573" t="e">
        <f t="shared" si="14"/>
        <v>#N/A</v>
      </c>
      <c r="X30" s="1566"/>
      <c r="Y30" s="3406"/>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6"/>
      <c r="Q31" s="1150" t="str">
        <f t="shared" si="11"/>
        <v>是否封闭</v>
      </c>
      <c r="R31" s="1567" t="s">
        <v>8</v>
      </c>
      <c r="S31" s="1568">
        <f t="shared" si="12"/>
        <v>100</v>
      </c>
      <c r="T31" s="1567" t="s">
        <v>8</v>
      </c>
      <c r="U31" s="1568">
        <f t="shared" si="13"/>
        <v>100</v>
      </c>
      <c r="V31" s="1567" t="s">
        <v>8</v>
      </c>
      <c r="W31" s="1568">
        <f t="shared" si="14"/>
        <v>100</v>
      </c>
      <c r="X31" s="1569"/>
      <c r="Y31" s="3406"/>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6" t="s">
        <v>549</v>
      </c>
      <c r="Q32" s="1571">
        <f t="shared" si="11"/>
        <v>111</v>
      </c>
      <c r="R32" s="1572" t="s">
        <v>8</v>
      </c>
      <c r="S32" s="1573">
        <f t="shared" si="12"/>
        <v>100</v>
      </c>
      <c r="T32" s="1572" t="s">
        <v>8</v>
      </c>
      <c r="U32" s="1573">
        <f t="shared" si="13"/>
        <v>100</v>
      </c>
      <c r="V32" s="1572" t="s">
        <v>8</v>
      </c>
      <c r="W32" s="1573">
        <f t="shared" si="14"/>
        <v>100</v>
      </c>
      <c r="X32" s="1566"/>
      <c r="Y32" s="3406"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6"/>
      <c r="Q33" s="1571">
        <f t="shared" si="11"/>
        <v>111</v>
      </c>
      <c r="R33" s="1572" t="s">
        <v>8</v>
      </c>
      <c r="S33" s="1573">
        <f t="shared" si="12"/>
        <v>100</v>
      </c>
      <c r="T33" s="1572" t="s">
        <v>8</v>
      </c>
      <c r="U33" s="1573">
        <f t="shared" si="13"/>
        <v>100</v>
      </c>
      <c r="V33" s="1572" t="s">
        <v>8</v>
      </c>
      <c r="W33" s="1573">
        <f t="shared" si="14"/>
        <v>100</v>
      </c>
      <c r="X33" s="1566"/>
      <c r="Y33" s="3406"/>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6"/>
      <c r="Q34" s="1571">
        <f t="shared" si="11"/>
        <v>111</v>
      </c>
      <c r="R34" s="1572" t="s">
        <v>8</v>
      </c>
      <c r="S34" s="1573">
        <f t="shared" si="12"/>
        <v>100</v>
      </c>
      <c r="T34" s="1572" t="s">
        <v>8</v>
      </c>
      <c r="U34" s="1573">
        <f t="shared" si="13"/>
        <v>100</v>
      </c>
      <c r="V34" s="1572" t="s">
        <v>8</v>
      </c>
      <c r="W34" s="1573">
        <f t="shared" si="14"/>
        <v>100</v>
      </c>
      <c r="X34" s="1566"/>
      <c r="Y34" s="3406"/>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369" t="str">
        <f>A35</f>
        <v>成交单价（元/平方米）</v>
      </c>
      <c r="Q35" s="3369"/>
      <c r="R35" s="3483">
        <f>E35</f>
        <v>0</v>
      </c>
      <c r="S35" s="3483"/>
      <c r="T35" s="3483">
        <f>G35</f>
        <v>0</v>
      </c>
      <c r="U35" s="3483"/>
      <c r="V35" s="3483">
        <f>I35</f>
        <v>0</v>
      </c>
      <c r="W35" s="3483"/>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369" t="str">
        <f>A36</f>
        <v>比较价格（元/平方米）</v>
      </c>
      <c r="Q36" s="3369"/>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58"/>
      <c r="Y36" s="1558"/>
      <c r="Z36" s="1558"/>
      <c r="AA36" s="1558"/>
      <c r="AB36" s="1558"/>
      <c r="AC36" s="1558"/>
    </row>
    <row r="37" spans="1:29" ht="15.75" thickBot="1">
      <c r="A37" s="621" t="s">
        <v>2939</v>
      </c>
      <c r="B37" s="622"/>
      <c r="C37" s="2636" t="e">
        <f>R37</f>
        <v>#DIV/0!</v>
      </c>
      <c r="D37" s="2636"/>
      <c r="E37" s="2636"/>
      <c r="F37" s="2636"/>
      <c r="G37" s="2636"/>
      <c r="H37" s="2636"/>
      <c r="I37" s="2636"/>
      <c r="J37" s="2636"/>
      <c r="K37" s="1612"/>
      <c r="L37" s="2144"/>
      <c r="M37" s="2145"/>
      <c r="N37" s="2145"/>
      <c r="O37" s="2145"/>
      <c r="P37" s="3366" t="str">
        <f>A37</f>
        <v>估价对象XX用房的比较价格（楼面单价，元/平方米）</v>
      </c>
      <c r="Q37" s="3367"/>
      <c r="R37" s="3482" t="e">
        <f>IF(F1="售价",ROUND(AVERAGE(R36:V36),0),ROUND(AVERAGE(R36:V36),1))</f>
        <v>#DIV/0!</v>
      </c>
      <c r="S37" s="3482"/>
      <c r="T37" s="3482"/>
      <c r="U37" s="3482"/>
      <c r="V37" s="3482"/>
      <c r="W37" s="348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493" t="s">
        <v>2306</v>
      </c>
      <c r="D1" s="3494"/>
      <c r="E1" s="3494"/>
      <c r="F1" s="3494"/>
      <c r="G1" s="3494"/>
      <c r="H1" s="3494"/>
      <c r="I1" s="3494"/>
      <c r="J1" s="3494"/>
      <c r="K1" s="3494"/>
      <c r="L1" s="3494"/>
      <c r="M1" s="3494"/>
      <c r="N1" s="3494"/>
      <c r="O1" s="3494"/>
      <c r="P1" s="3494"/>
      <c r="Q1" s="3494"/>
      <c r="R1" s="3494"/>
      <c r="S1" s="349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43334</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3</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2" sqref="B62"/>
    </sheetView>
  </sheetViews>
  <sheetFormatPr defaultRowHeight="13.5"/>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topLeftCell="B46" workbookViewId="0">
      <selection activeCell="K109" sqref="K109"/>
    </sheetView>
  </sheetViews>
  <sheetFormatPr defaultRowHeight="13.5"/>
  <cols>
    <col min="1" max="1" width="35.75" customWidth="1"/>
    <col min="6" max="6" width="16.5" customWidth="1"/>
    <col min="8" max="8" width="12.25" customWidth="1"/>
  </cols>
  <sheetData>
    <row r="1" spans="1:15" s="2939" customFormat="1">
      <c r="A1" s="2939" t="s">
        <v>3028</v>
      </c>
      <c r="B1" s="2939" t="s">
        <v>3029</v>
      </c>
      <c r="C1" s="2939" t="s">
        <v>3030</v>
      </c>
      <c r="D1" s="2939" t="s">
        <v>3031</v>
      </c>
      <c r="E1" s="2939" t="s">
        <v>3032</v>
      </c>
      <c r="F1" s="2939" t="s">
        <v>2034</v>
      </c>
      <c r="G1" s="2939" t="s">
        <v>3033</v>
      </c>
      <c r="H1" s="2939" t="s">
        <v>3034</v>
      </c>
      <c r="I1" s="2939" t="s">
        <v>3035</v>
      </c>
      <c r="K1" s="2939" t="s">
        <v>3036</v>
      </c>
      <c r="L1" s="3182" t="s">
        <v>3037</v>
      </c>
      <c r="M1" s="2939" t="s">
        <v>3038</v>
      </c>
      <c r="N1" s="2939" t="s">
        <v>3039</v>
      </c>
      <c r="O1" s="2939" t="s">
        <v>3040</v>
      </c>
    </row>
    <row r="2" spans="1:15" s="2939" customFormat="1">
      <c r="A2" s="2939" t="s">
        <v>3041</v>
      </c>
      <c r="B2" s="2939" t="s">
        <v>3042</v>
      </c>
      <c r="C2" s="2939" t="s">
        <v>3043</v>
      </c>
      <c r="D2" s="2939">
        <v>4964</v>
      </c>
      <c r="E2" s="2939">
        <v>5460.4</v>
      </c>
      <c r="F2" s="2939" t="s">
        <v>3044</v>
      </c>
      <c r="G2" s="2939" t="s">
        <v>3045</v>
      </c>
      <c r="H2" s="2939" t="s">
        <v>3046</v>
      </c>
      <c r="I2" s="2939">
        <v>1267</v>
      </c>
      <c r="J2" s="2939">
        <f t="shared" ref="J2:J33" si="0">ROUND(K2*10000/D2,0)</f>
        <v>2552</v>
      </c>
      <c r="K2" s="2939">
        <v>1267</v>
      </c>
      <c r="L2" s="2939">
        <f>J2</f>
        <v>2552</v>
      </c>
      <c r="M2" s="2939">
        <v>2320.34</v>
      </c>
      <c r="N2" s="2939">
        <v>0</v>
      </c>
      <c r="O2" s="2939" t="s">
        <v>3047</v>
      </c>
    </row>
    <row r="3" spans="1:15" s="2939" customFormat="1">
      <c r="A3" s="2939" t="s">
        <v>3048</v>
      </c>
      <c r="B3" s="2939" t="s">
        <v>3042</v>
      </c>
      <c r="C3" s="2939" t="s">
        <v>3043</v>
      </c>
      <c r="D3" s="2939">
        <v>11816</v>
      </c>
      <c r="E3" s="2939">
        <v>12997.6</v>
      </c>
      <c r="F3" s="2939" t="s">
        <v>3044</v>
      </c>
      <c r="G3" s="2939" t="s">
        <v>3045</v>
      </c>
      <c r="H3" s="2939" t="s">
        <v>3046</v>
      </c>
      <c r="I3" s="2939">
        <v>3012</v>
      </c>
      <c r="J3" s="2939">
        <f t="shared" si="0"/>
        <v>2549</v>
      </c>
      <c r="K3" s="2939">
        <v>3012</v>
      </c>
      <c r="L3" s="2939">
        <f t="shared" ref="L3:L51" si="1">J3</f>
        <v>2549</v>
      </c>
      <c r="M3" s="2939">
        <v>2317.34</v>
      </c>
      <c r="N3" s="2939">
        <v>0</v>
      </c>
      <c r="O3" s="2939" t="s">
        <v>3047</v>
      </c>
    </row>
    <row r="4" spans="1:15" s="2939" customFormat="1">
      <c r="A4" s="2939" t="s">
        <v>3049</v>
      </c>
      <c r="B4" s="2939" t="s">
        <v>3042</v>
      </c>
      <c r="C4" s="2939" t="s">
        <v>3043</v>
      </c>
      <c r="D4" s="2939">
        <v>53892</v>
      </c>
      <c r="E4" s="2939">
        <v>296406</v>
      </c>
      <c r="F4" s="2939" t="s">
        <v>3050</v>
      </c>
      <c r="G4" s="2939" t="s">
        <v>3045</v>
      </c>
      <c r="H4" s="2939" t="s">
        <v>3046</v>
      </c>
      <c r="I4" s="2939">
        <v>8084</v>
      </c>
      <c r="J4" s="2939">
        <f t="shared" si="0"/>
        <v>1500</v>
      </c>
      <c r="K4" s="2939">
        <v>8084</v>
      </c>
      <c r="L4" s="2939">
        <f t="shared" si="1"/>
        <v>1500</v>
      </c>
      <c r="M4" s="2939">
        <v>272.73</v>
      </c>
      <c r="N4" s="2939">
        <v>0</v>
      </c>
      <c r="O4" s="2939" t="s">
        <v>3051</v>
      </c>
    </row>
    <row r="5" spans="1:15" s="2939" customFormat="1">
      <c r="A5" s="2939" t="s">
        <v>3052</v>
      </c>
      <c r="B5" s="2939" t="s">
        <v>3042</v>
      </c>
      <c r="C5" s="2939" t="s">
        <v>3043</v>
      </c>
      <c r="D5" s="2939">
        <v>39893</v>
      </c>
      <c r="E5" s="2939">
        <v>43882.3</v>
      </c>
      <c r="F5" s="2939" t="s">
        <v>3044</v>
      </c>
      <c r="G5" s="2939" t="s">
        <v>3045</v>
      </c>
      <c r="H5" s="2939" t="s">
        <v>3046</v>
      </c>
      <c r="I5" s="2939">
        <v>3890</v>
      </c>
      <c r="J5" s="2939">
        <f t="shared" si="0"/>
        <v>975</v>
      </c>
      <c r="K5" s="2939">
        <v>3890</v>
      </c>
      <c r="L5" s="2939">
        <f t="shared" si="1"/>
        <v>975</v>
      </c>
      <c r="M5" s="2939">
        <v>886.46</v>
      </c>
      <c r="N5" s="2939">
        <v>0</v>
      </c>
      <c r="O5" s="2939" t="s">
        <v>3053</v>
      </c>
    </row>
    <row r="6" spans="1:15" s="2939" customFormat="1">
      <c r="A6" s="2939" t="s">
        <v>3054</v>
      </c>
      <c r="B6" s="2939" t="s">
        <v>3042</v>
      </c>
      <c r="C6" s="2939" t="s">
        <v>3043</v>
      </c>
      <c r="D6" s="2939">
        <v>1697</v>
      </c>
      <c r="E6" s="2939">
        <v>1866.7</v>
      </c>
      <c r="F6" s="2939" t="s">
        <v>3044</v>
      </c>
      <c r="G6" s="2939" t="s">
        <v>3045</v>
      </c>
      <c r="H6" s="2939" t="s">
        <v>3046</v>
      </c>
      <c r="I6" s="2939">
        <v>434</v>
      </c>
      <c r="J6" s="2939">
        <f t="shared" si="0"/>
        <v>2557</v>
      </c>
      <c r="K6" s="2939">
        <v>434</v>
      </c>
      <c r="L6" s="2939">
        <f t="shared" si="1"/>
        <v>2557</v>
      </c>
      <c r="M6" s="2939">
        <v>2324.96</v>
      </c>
      <c r="N6" s="2939">
        <v>0</v>
      </c>
      <c r="O6" s="2939" t="s">
        <v>3047</v>
      </c>
    </row>
    <row r="7" spans="1:15" s="3183" customFormat="1">
      <c r="A7" s="3183" t="s">
        <v>3055</v>
      </c>
      <c r="B7" s="3183" t="s">
        <v>3042</v>
      </c>
      <c r="C7" s="3183" t="s">
        <v>3043</v>
      </c>
      <c r="D7" s="3183">
        <v>11251</v>
      </c>
      <c r="E7" s="3183">
        <v>11813.55</v>
      </c>
      <c r="F7" s="3183" t="s">
        <v>3056</v>
      </c>
      <c r="G7" s="3183" t="s">
        <v>3045</v>
      </c>
      <c r="H7" s="3183" t="s">
        <v>3046</v>
      </c>
      <c r="I7" s="3183">
        <v>1013</v>
      </c>
      <c r="J7" s="3183">
        <f t="shared" si="0"/>
        <v>900</v>
      </c>
      <c r="K7" s="3183">
        <v>1013</v>
      </c>
      <c r="L7" s="3183">
        <f t="shared" si="1"/>
        <v>900</v>
      </c>
      <c r="M7" s="3183">
        <v>857.49</v>
      </c>
      <c r="N7" s="3183">
        <v>0</v>
      </c>
      <c r="O7" s="3183" t="s">
        <v>3057</v>
      </c>
    </row>
    <row r="8" spans="1:15" s="2939" customFormat="1">
      <c r="A8" s="2939" t="s">
        <v>3058</v>
      </c>
      <c r="B8" s="2939" t="s">
        <v>3042</v>
      </c>
      <c r="C8" s="2939" t="s">
        <v>3043</v>
      </c>
      <c r="D8" s="2939">
        <v>7579</v>
      </c>
      <c r="E8" s="2939">
        <v>8336.9</v>
      </c>
      <c r="F8" s="2939" t="s">
        <v>3044</v>
      </c>
      <c r="G8" s="2939" t="s">
        <v>3045</v>
      </c>
      <c r="H8" s="2939" t="s">
        <v>3046</v>
      </c>
      <c r="I8" s="2939">
        <v>1933</v>
      </c>
      <c r="J8" s="2939">
        <f t="shared" si="0"/>
        <v>2550</v>
      </c>
      <c r="K8" s="2939">
        <v>1933</v>
      </c>
      <c r="L8" s="2939">
        <f t="shared" si="1"/>
        <v>2550</v>
      </c>
      <c r="M8" s="2939">
        <v>2318.61</v>
      </c>
      <c r="N8" s="2939">
        <v>0</v>
      </c>
      <c r="O8" s="2939" t="s">
        <v>3047</v>
      </c>
    </row>
    <row r="9" spans="1:15" s="2939" customFormat="1">
      <c r="A9" s="2939" t="s">
        <v>3059</v>
      </c>
      <c r="B9" s="2939" t="s">
        <v>3042</v>
      </c>
      <c r="C9" s="2939" t="s">
        <v>3043</v>
      </c>
      <c r="D9" s="2939">
        <v>407</v>
      </c>
      <c r="E9" s="2939">
        <v>447.7</v>
      </c>
      <c r="F9" s="2939" t="s">
        <v>3044</v>
      </c>
      <c r="G9" s="2939" t="s">
        <v>3045</v>
      </c>
      <c r="H9" s="2939" t="s">
        <v>3046</v>
      </c>
      <c r="I9" s="2939">
        <v>104</v>
      </c>
      <c r="J9" s="2939">
        <f t="shared" si="0"/>
        <v>2555</v>
      </c>
      <c r="K9" s="2939">
        <v>104</v>
      </c>
      <c r="L9" s="2939">
        <f t="shared" si="1"/>
        <v>2555</v>
      </c>
      <c r="M9" s="2939">
        <v>2322.98</v>
      </c>
      <c r="N9" s="2939">
        <v>0</v>
      </c>
      <c r="O9" s="2939" t="s">
        <v>3047</v>
      </c>
    </row>
    <row r="10" spans="1:15" s="3183" customFormat="1">
      <c r="A10" s="3193" t="s">
        <v>3134</v>
      </c>
      <c r="B10" s="3183" t="s">
        <v>3042</v>
      </c>
      <c r="C10" s="3183" t="s">
        <v>3043</v>
      </c>
      <c r="D10" s="3183">
        <v>780</v>
      </c>
      <c r="E10" s="3183">
        <v>1248</v>
      </c>
      <c r="F10" s="3183" t="s">
        <v>3060</v>
      </c>
      <c r="G10" s="3183" t="s">
        <v>3045</v>
      </c>
      <c r="H10" s="3183" t="s">
        <v>3046</v>
      </c>
      <c r="I10" s="3183">
        <v>171</v>
      </c>
      <c r="J10" s="3183">
        <f t="shared" si="0"/>
        <v>2192</v>
      </c>
      <c r="K10" s="3183">
        <v>171</v>
      </c>
      <c r="L10" s="3183">
        <f t="shared" si="1"/>
        <v>2192</v>
      </c>
      <c r="M10" s="3183">
        <v>1370.19</v>
      </c>
      <c r="N10" s="3183">
        <v>0</v>
      </c>
      <c r="O10" s="3183" t="s">
        <v>3061</v>
      </c>
    </row>
    <row r="11" spans="1:15" s="3184" customFormat="1" ht="12.75">
      <c r="A11" s="3184" t="s">
        <v>3062</v>
      </c>
      <c r="B11" s="3184" t="s">
        <v>3042</v>
      </c>
      <c r="C11" s="3184" t="s">
        <v>3043</v>
      </c>
      <c r="D11" s="3184">
        <v>2440</v>
      </c>
      <c r="E11" s="3184">
        <v>7320</v>
      </c>
      <c r="F11" s="3184" t="s">
        <v>3063</v>
      </c>
      <c r="G11" s="3184" t="s">
        <v>3045</v>
      </c>
      <c r="H11" s="3184" t="s">
        <v>3064</v>
      </c>
      <c r="I11" s="3184">
        <v>2928</v>
      </c>
      <c r="J11" s="3184">
        <f t="shared" si="0"/>
        <v>12000</v>
      </c>
      <c r="K11" s="3184">
        <v>2928</v>
      </c>
      <c r="L11" s="3184">
        <f t="shared" si="1"/>
        <v>12000</v>
      </c>
      <c r="M11" s="3184">
        <v>4000</v>
      </c>
      <c r="N11" s="3184">
        <v>0</v>
      </c>
      <c r="O11" s="3184" t="s">
        <v>3065</v>
      </c>
    </row>
    <row r="12" spans="1:15" s="2939" customFormat="1">
      <c r="A12" s="2939" t="s">
        <v>3066</v>
      </c>
      <c r="B12" s="2939" t="s">
        <v>3042</v>
      </c>
      <c r="C12" s="2939" t="s">
        <v>3043</v>
      </c>
      <c r="D12" s="2939">
        <v>7748</v>
      </c>
      <c r="E12" s="2939">
        <v>19370</v>
      </c>
      <c r="F12" s="2939" t="s">
        <v>3067</v>
      </c>
      <c r="G12" s="2939" t="s">
        <v>3045</v>
      </c>
      <c r="H12" s="2939" t="s">
        <v>3064</v>
      </c>
      <c r="I12" s="2939">
        <v>11620</v>
      </c>
      <c r="J12" s="2939">
        <f t="shared" si="0"/>
        <v>14997</v>
      </c>
      <c r="K12" s="2939">
        <v>11620</v>
      </c>
      <c r="L12" s="2939">
        <f t="shared" si="1"/>
        <v>14997</v>
      </c>
      <c r="M12" s="2939">
        <v>5998.97</v>
      </c>
      <c r="N12" s="2939">
        <v>0</v>
      </c>
      <c r="O12" s="2939" t="s">
        <v>3068</v>
      </c>
    </row>
    <row r="13" spans="1:15" s="2939" customFormat="1">
      <c r="A13" s="2939" t="s">
        <v>3069</v>
      </c>
      <c r="B13" s="2939" t="s">
        <v>3042</v>
      </c>
      <c r="C13" s="2939" t="s">
        <v>3043</v>
      </c>
      <c r="D13" s="2939">
        <v>117</v>
      </c>
      <c r="E13" s="2939">
        <v>222.3</v>
      </c>
      <c r="F13" s="2939" t="s">
        <v>3070</v>
      </c>
      <c r="G13" s="2939" t="s">
        <v>3045</v>
      </c>
      <c r="H13" s="2939" t="s">
        <v>3064</v>
      </c>
      <c r="I13" s="2939">
        <v>81</v>
      </c>
      <c r="J13" s="2939">
        <f t="shared" si="0"/>
        <v>6940</v>
      </c>
      <c r="K13" s="2939">
        <v>81.2</v>
      </c>
      <c r="L13" s="2939">
        <f t="shared" si="1"/>
        <v>6940</v>
      </c>
      <c r="M13" s="2939">
        <v>3652.71</v>
      </c>
      <c r="N13" s="2939">
        <v>0.25</v>
      </c>
      <c r="O13" s="2939" t="s">
        <v>3071</v>
      </c>
    </row>
    <row r="14" spans="1:15" s="2939" customFormat="1">
      <c r="A14" s="2939" t="s">
        <v>3072</v>
      </c>
      <c r="B14" s="2939" t="s">
        <v>3042</v>
      </c>
      <c r="C14" s="2939" t="s">
        <v>3043</v>
      </c>
      <c r="D14" s="2939">
        <v>45781</v>
      </c>
      <c r="E14" s="2939">
        <v>82405.8</v>
      </c>
      <c r="F14" s="2939" t="s">
        <v>3073</v>
      </c>
      <c r="G14" s="2939" t="s">
        <v>3045</v>
      </c>
      <c r="H14" s="2939" t="s">
        <v>3064</v>
      </c>
      <c r="I14" s="2939">
        <v>32962</v>
      </c>
      <c r="J14" s="2939">
        <f t="shared" si="0"/>
        <v>7309</v>
      </c>
      <c r="K14" s="2939">
        <v>33462</v>
      </c>
      <c r="L14" s="2939">
        <f t="shared" si="1"/>
        <v>7309</v>
      </c>
      <c r="M14" s="2939">
        <v>4060.63</v>
      </c>
      <c r="N14" s="2939">
        <v>1.52</v>
      </c>
      <c r="O14" s="2939" t="s">
        <v>3074</v>
      </c>
    </row>
    <row r="15" spans="1:15" s="2939" customFormat="1">
      <c r="A15" s="2939" t="s">
        <v>3075</v>
      </c>
      <c r="B15" s="2939" t="s">
        <v>3042</v>
      </c>
      <c r="C15" s="2939" t="s">
        <v>3043</v>
      </c>
      <c r="D15" s="2939">
        <v>38731</v>
      </c>
      <c r="E15" s="2939">
        <v>69715.8</v>
      </c>
      <c r="F15" s="2939" t="s">
        <v>3073</v>
      </c>
      <c r="G15" s="2939" t="s">
        <v>3045</v>
      </c>
      <c r="H15" s="2939" t="s">
        <v>3064</v>
      </c>
      <c r="I15" s="2939">
        <v>27888</v>
      </c>
      <c r="J15" s="2939">
        <f t="shared" si="0"/>
        <v>7355</v>
      </c>
      <c r="K15" s="2939">
        <v>28488</v>
      </c>
      <c r="L15" s="2939">
        <f t="shared" si="1"/>
        <v>7355</v>
      </c>
      <c r="M15" s="2939">
        <v>4086.3</v>
      </c>
      <c r="N15" s="2939">
        <v>2.15</v>
      </c>
      <c r="O15" s="2939" t="s">
        <v>3076</v>
      </c>
    </row>
    <row r="16" spans="1:15" s="3185" customFormat="1">
      <c r="A16" s="3186" t="s">
        <v>3135</v>
      </c>
      <c r="B16" s="3185" t="s">
        <v>3042</v>
      </c>
      <c r="C16" s="3185" t="s">
        <v>3043</v>
      </c>
      <c r="D16" s="3185">
        <v>16514</v>
      </c>
      <c r="E16" s="3185">
        <v>18165.400000000001</v>
      </c>
      <c r="F16" s="3185" t="s">
        <v>3044</v>
      </c>
      <c r="G16" s="3185" t="s">
        <v>3045</v>
      </c>
      <c r="H16" s="3185" t="s">
        <v>3077</v>
      </c>
      <c r="I16" s="3185">
        <v>2477</v>
      </c>
      <c r="J16" s="2939">
        <f t="shared" si="0"/>
        <v>1500</v>
      </c>
      <c r="K16" s="3185">
        <v>2477</v>
      </c>
      <c r="L16" s="2939">
        <f t="shared" si="1"/>
        <v>1500</v>
      </c>
      <c r="M16" s="3185">
        <v>1363.57</v>
      </c>
      <c r="N16" s="3185">
        <v>0</v>
      </c>
      <c r="O16" s="3185" t="s">
        <v>3078</v>
      </c>
    </row>
    <row r="17" spans="1:15" s="2939" customFormat="1">
      <c r="A17" s="2939" t="s">
        <v>3079</v>
      </c>
      <c r="B17" s="2939" t="s">
        <v>3042</v>
      </c>
      <c r="C17" s="2939" t="s">
        <v>3043</v>
      </c>
      <c r="D17" s="2939">
        <v>68196</v>
      </c>
      <c r="E17" s="2939">
        <v>136392</v>
      </c>
      <c r="F17" s="2939" t="s">
        <v>3080</v>
      </c>
      <c r="G17" s="2939" t="s">
        <v>3045</v>
      </c>
      <c r="H17" s="2939" t="s">
        <v>3081</v>
      </c>
      <c r="I17" s="2939">
        <v>22504</v>
      </c>
      <c r="J17" s="2939">
        <f t="shared" si="0"/>
        <v>3300</v>
      </c>
      <c r="K17" s="2939">
        <v>22504</v>
      </c>
      <c r="L17" s="2939">
        <f t="shared" si="1"/>
        <v>3300</v>
      </c>
      <c r="M17" s="2939">
        <v>1649.95</v>
      </c>
      <c r="N17" s="2939">
        <v>0</v>
      </c>
      <c r="O17" s="2939" t="s">
        <v>3082</v>
      </c>
    </row>
    <row r="18" spans="1:15" s="2939" customFormat="1">
      <c r="A18" s="2939" t="s">
        <v>3079</v>
      </c>
      <c r="B18" s="2939" t="s">
        <v>3042</v>
      </c>
      <c r="C18" s="2939" t="s">
        <v>3043</v>
      </c>
      <c r="D18" s="2939">
        <v>54838</v>
      </c>
      <c r="E18" s="2939">
        <v>109676</v>
      </c>
      <c r="F18" s="2939" t="s">
        <v>3080</v>
      </c>
      <c r="G18" s="2939" t="s">
        <v>3045</v>
      </c>
      <c r="H18" s="2939" t="s">
        <v>3081</v>
      </c>
      <c r="I18" s="2939">
        <v>18097</v>
      </c>
      <c r="J18" s="2939">
        <f t="shared" si="0"/>
        <v>3300</v>
      </c>
      <c r="K18" s="2939">
        <v>18097</v>
      </c>
      <c r="L18" s="2939">
        <f t="shared" si="1"/>
        <v>3300</v>
      </c>
      <c r="M18" s="2939">
        <v>1650.03</v>
      </c>
      <c r="N18" s="2939">
        <v>0</v>
      </c>
      <c r="O18" s="2939" t="s">
        <v>3082</v>
      </c>
    </row>
    <row r="19" spans="1:15" s="3183" customFormat="1">
      <c r="A19" s="3183" t="s">
        <v>3079</v>
      </c>
      <c r="B19" s="3183" t="s">
        <v>3042</v>
      </c>
      <c r="C19" s="3183" t="s">
        <v>3043</v>
      </c>
      <c r="D19" s="3183">
        <v>68481</v>
      </c>
      <c r="E19" s="3183">
        <v>136962</v>
      </c>
      <c r="F19" s="3183" t="s">
        <v>3080</v>
      </c>
      <c r="G19" s="3183" t="s">
        <v>3045</v>
      </c>
      <c r="H19" s="3183" t="s">
        <v>3081</v>
      </c>
      <c r="I19" s="3183">
        <v>22598</v>
      </c>
      <c r="J19" s="3183">
        <f t="shared" si="0"/>
        <v>3300</v>
      </c>
      <c r="K19" s="3183">
        <v>22598</v>
      </c>
      <c r="L19" s="3183">
        <f t="shared" si="1"/>
        <v>3300</v>
      </c>
      <c r="M19" s="3183">
        <v>1649.95</v>
      </c>
      <c r="N19" s="3183">
        <v>0</v>
      </c>
      <c r="O19" s="3183" t="s">
        <v>3082</v>
      </c>
    </row>
    <row r="20" spans="1:15" s="2939" customFormat="1">
      <c r="A20" s="2939" t="s">
        <v>3083</v>
      </c>
      <c r="B20" s="2939" t="s">
        <v>3042</v>
      </c>
      <c r="C20" s="2939" t="s">
        <v>3043</v>
      </c>
      <c r="D20" s="2939">
        <v>53873</v>
      </c>
      <c r="E20" s="2939">
        <v>107746</v>
      </c>
      <c r="F20" s="2939" t="s">
        <v>3080</v>
      </c>
      <c r="G20" s="2939" t="s">
        <v>3045</v>
      </c>
      <c r="H20" s="2939" t="s">
        <v>3084</v>
      </c>
      <c r="I20" s="2939">
        <v>51718</v>
      </c>
      <c r="J20" s="2939">
        <f t="shared" si="0"/>
        <v>9671</v>
      </c>
      <c r="K20" s="2939">
        <v>52100</v>
      </c>
      <c r="L20" s="2939">
        <f t="shared" si="1"/>
        <v>9671</v>
      </c>
      <c r="M20" s="2939">
        <v>4835.4399999999996</v>
      </c>
      <c r="N20" s="2939">
        <v>0.74</v>
      </c>
      <c r="O20" s="2939" t="s">
        <v>3085</v>
      </c>
    </row>
    <row r="21" spans="1:15" s="2939" customFormat="1">
      <c r="A21" s="2939" t="s">
        <v>3086</v>
      </c>
      <c r="B21" s="2939" t="s">
        <v>3042</v>
      </c>
      <c r="C21" s="2939" t="s">
        <v>3043</v>
      </c>
      <c r="D21" s="2939">
        <v>6737</v>
      </c>
      <c r="E21" s="2939">
        <v>17516.2</v>
      </c>
      <c r="F21" s="2939" t="s">
        <v>3087</v>
      </c>
      <c r="G21" s="2939" t="s">
        <v>3045</v>
      </c>
      <c r="H21" s="2939" t="s">
        <v>3088</v>
      </c>
      <c r="I21" s="2939">
        <v>4550</v>
      </c>
      <c r="J21" s="2939">
        <f t="shared" si="0"/>
        <v>6754</v>
      </c>
      <c r="K21" s="2939">
        <v>4550</v>
      </c>
      <c r="L21" s="2939">
        <f t="shared" si="1"/>
        <v>6754</v>
      </c>
      <c r="M21" s="2939">
        <v>2597.59</v>
      </c>
      <c r="N21" s="2939">
        <v>0</v>
      </c>
      <c r="O21" s="2939" t="s">
        <v>3071</v>
      </c>
    </row>
    <row r="22" spans="1:15" s="2939" customFormat="1">
      <c r="A22" s="2939" t="s">
        <v>3089</v>
      </c>
      <c r="B22" s="2939" t="s">
        <v>3042</v>
      </c>
      <c r="C22" s="2939" t="s">
        <v>3043</v>
      </c>
      <c r="D22" s="2939">
        <v>476</v>
      </c>
      <c r="E22" s="2939">
        <v>666.4</v>
      </c>
      <c r="F22" s="2939" t="s">
        <v>3090</v>
      </c>
      <c r="G22" s="2939" t="s">
        <v>3045</v>
      </c>
      <c r="H22" s="2939" t="s">
        <v>3088</v>
      </c>
      <c r="I22" s="2939">
        <v>37</v>
      </c>
      <c r="J22" s="2939">
        <f t="shared" si="0"/>
        <v>777</v>
      </c>
      <c r="K22" s="2939">
        <v>37</v>
      </c>
      <c r="L22" s="2939">
        <f t="shared" si="1"/>
        <v>777</v>
      </c>
      <c r="M22" s="2939">
        <v>555.22</v>
      </c>
      <c r="N22" s="2939">
        <v>0</v>
      </c>
      <c r="O22" s="2939" t="s">
        <v>3091</v>
      </c>
    </row>
    <row r="23" spans="1:15" s="3183" customFormat="1">
      <c r="A23" s="3183" t="s">
        <v>3092</v>
      </c>
      <c r="B23" s="3183" t="s">
        <v>3042</v>
      </c>
      <c r="C23" s="3183" t="s">
        <v>3043</v>
      </c>
      <c r="D23" s="3183">
        <v>4678</v>
      </c>
      <c r="E23" s="3183">
        <v>25729</v>
      </c>
      <c r="F23" s="3183" t="s">
        <v>3050</v>
      </c>
      <c r="G23" s="3183" t="s">
        <v>3045</v>
      </c>
      <c r="H23" s="3183" t="s">
        <v>3088</v>
      </c>
      <c r="I23" s="3183">
        <v>3558</v>
      </c>
      <c r="J23" s="3183">
        <f t="shared" si="0"/>
        <v>7606</v>
      </c>
      <c r="K23" s="3183">
        <v>3558</v>
      </c>
      <c r="L23" s="3183">
        <f t="shared" si="1"/>
        <v>7606</v>
      </c>
      <c r="M23" s="3183">
        <v>1382.88</v>
      </c>
      <c r="N23" s="3183">
        <v>0</v>
      </c>
      <c r="O23" s="3183" t="s">
        <v>3093</v>
      </c>
    </row>
    <row r="24" spans="1:15" s="2939" customFormat="1">
      <c r="A24" s="2939" t="s">
        <v>3089</v>
      </c>
      <c r="B24" s="2939" t="s">
        <v>3042</v>
      </c>
      <c r="C24" s="2939" t="s">
        <v>3043</v>
      </c>
      <c r="D24" s="2939">
        <v>7447</v>
      </c>
      <c r="E24" s="2939">
        <v>10425.799999999999</v>
      </c>
      <c r="F24" s="2939" t="s">
        <v>3090</v>
      </c>
      <c r="G24" s="2939" t="s">
        <v>3045</v>
      </c>
      <c r="H24" s="2939" t="s">
        <v>3088</v>
      </c>
      <c r="I24" s="2939">
        <v>579</v>
      </c>
      <c r="J24" s="2939">
        <f t="shared" si="0"/>
        <v>777</v>
      </c>
      <c r="K24" s="2939">
        <v>579</v>
      </c>
      <c r="L24" s="2939">
        <f t="shared" si="1"/>
        <v>777</v>
      </c>
      <c r="M24" s="2939">
        <v>555.35</v>
      </c>
      <c r="N24" s="2939">
        <v>0</v>
      </c>
      <c r="O24" s="2939" t="s">
        <v>3091</v>
      </c>
    </row>
    <row r="25" spans="1:15" s="2939" customFormat="1">
      <c r="A25" s="2939" t="s">
        <v>3094</v>
      </c>
      <c r="B25" s="2939" t="s">
        <v>3042</v>
      </c>
      <c r="C25" s="2939" t="s">
        <v>3043</v>
      </c>
      <c r="D25" s="2939">
        <v>1568</v>
      </c>
      <c r="E25" s="2939">
        <v>3136</v>
      </c>
      <c r="F25" s="2939" t="s">
        <v>3080</v>
      </c>
      <c r="G25" s="2939" t="s">
        <v>3045</v>
      </c>
      <c r="H25" s="2939" t="s">
        <v>3088</v>
      </c>
      <c r="I25" s="2939">
        <v>2350</v>
      </c>
      <c r="J25" s="2939">
        <f t="shared" si="0"/>
        <v>14987</v>
      </c>
      <c r="K25" s="2939">
        <v>2350</v>
      </c>
      <c r="L25" s="2939">
        <f t="shared" si="1"/>
        <v>14987</v>
      </c>
      <c r="M25" s="2939">
        <v>7493.61</v>
      </c>
      <c r="N25" s="2939">
        <v>0</v>
      </c>
      <c r="O25" s="2939" t="s">
        <v>3095</v>
      </c>
    </row>
    <row r="26" spans="1:15" s="2939" customFormat="1">
      <c r="A26" s="2939" t="s">
        <v>3096</v>
      </c>
      <c r="B26" s="2939" t="s">
        <v>3042</v>
      </c>
      <c r="C26" s="2939" t="s">
        <v>3043</v>
      </c>
      <c r="D26" s="2939">
        <v>2815</v>
      </c>
      <c r="E26" s="2939">
        <v>7037.5</v>
      </c>
      <c r="F26" s="2939" t="s">
        <v>3067</v>
      </c>
      <c r="G26" s="2939" t="s">
        <v>3045</v>
      </c>
      <c r="H26" s="2939" t="s">
        <v>3088</v>
      </c>
      <c r="I26" s="2939">
        <v>4220</v>
      </c>
      <c r="J26" s="2939">
        <f t="shared" si="0"/>
        <v>14991</v>
      </c>
      <c r="K26" s="2939">
        <v>4220</v>
      </c>
      <c r="L26" s="2939">
        <f t="shared" si="1"/>
        <v>14991</v>
      </c>
      <c r="M26" s="2939">
        <v>5996.44</v>
      </c>
      <c r="N26" s="2939">
        <v>0</v>
      </c>
      <c r="O26" s="2939" t="s">
        <v>3097</v>
      </c>
    </row>
    <row r="27" spans="1:15" s="2939" customFormat="1">
      <c r="A27" s="2939" t="s">
        <v>3098</v>
      </c>
      <c r="B27" s="2939" t="s">
        <v>3042</v>
      </c>
      <c r="C27" s="2939" t="s">
        <v>3043</v>
      </c>
      <c r="D27" s="2939">
        <v>63792</v>
      </c>
      <c r="E27" s="2939">
        <v>127584</v>
      </c>
      <c r="F27" s="2939" t="s">
        <v>3080</v>
      </c>
      <c r="G27" s="2939" t="s">
        <v>3045</v>
      </c>
      <c r="H27" s="2939" t="s">
        <v>3088</v>
      </c>
      <c r="I27" s="2939">
        <v>5231</v>
      </c>
      <c r="J27" s="2939">
        <f t="shared" si="0"/>
        <v>820</v>
      </c>
      <c r="K27" s="2939">
        <v>5231</v>
      </c>
      <c r="L27" s="2939">
        <f t="shared" si="1"/>
        <v>820</v>
      </c>
      <c r="M27" s="2939">
        <v>410</v>
      </c>
      <c r="N27" s="2939">
        <v>0</v>
      </c>
      <c r="O27" s="2939" t="s">
        <v>3099</v>
      </c>
    </row>
    <row r="28" spans="1:15" s="2939" customFormat="1">
      <c r="A28" s="2939" t="s">
        <v>3100</v>
      </c>
      <c r="B28" s="2939" t="s">
        <v>3042</v>
      </c>
      <c r="C28" s="2939" t="s">
        <v>3043</v>
      </c>
      <c r="D28" s="2939">
        <v>52384</v>
      </c>
      <c r="E28" s="2939">
        <v>130960</v>
      </c>
      <c r="F28" s="2939" t="s">
        <v>3067</v>
      </c>
      <c r="G28" s="2939" t="s">
        <v>3045</v>
      </c>
      <c r="H28" s="2939" t="s">
        <v>3088</v>
      </c>
      <c r="I28" s="2939">
        <v>78580</v>
      </c>
      <c r="J28" s="2939">
        <f t="shared" si="0"/>
        <v>15096</v>
      </c>
      <c r="K28" s="2939">
        <v>79080</v>
      </c>
      <c r="L28" s="2939">
        <f t="shared" si="1"/>
        <v>15096</v>
      </c>
      <c r="M28" s="2939">
        <v>6038.48</v>
      </c>
      <c r="N28" s="2939">
        <v>0.64</v>
      </c>
      <c r="O28" s="2939" t="s">
        <v>3097</v>
      </c>
    </row>
    <row r="29" spans="1:15" s="3183" customFormat="1">
      <c r="A29" s="3183" t="s">
        <v>3101</v>
      </c>
      <c r="B29" s="3183" t="s">
        <v>3042</v>
      </c>
      <c r="C29" s="3183" t="s">
        <v>3043</v>
      </c>
      <c r="D29" s="3183">
        <v>16086</v>
      </c>
      <c r="E29" s="3183">
        <v>32172</v>
      </c>
      <c r="F29" s="3183" t="s">
        <v>3080</v>
      </c>
      <c r="G29" s="3183" t="s">
        <v>3045</v>
      </c>
      <c r="H29" s="3183" t="s">
        <v>3088</v>
      </c>
      <c r="I29" s="3183">
        <v>1271</v>
      </c>
      <c r="J29" s="3183">
        <f t="shared" si="0"/>
        <v>790</v>
      </c>
      <c r="K29" s="3183">
        <v>1271</v>
      </c>
      <c r="L29" s="3183">
        <f t="shared" si="1"/>
        <v>790</v>
      </c>
      <c r="M29" s="3183">
        <v>395.06</v>
      </c>
      <c r="N29" s="3183">
        <v>0</v>
      </c>
      <c r="O29" s="3183" t="s">
        <v>3102</v>
      </c>
    </row>
    <row r="30" spans="1:15" s="3185" customFormat="1">
      <c r="A30" s="3186" t="s">
        <v>3136</v>
      </c>
      <c r="B30" s="3185" t="s">
        <v>3042</v>
      </c>
      <c r="C30" s="3185" t="s">
        <v>3043</v>
      </c>
      <c r="D30" s="3185">
        <v>6454</v>
      </c>
      <c r="E30" s="3185">
        <v>10326.4</v>
      </c>
      <c r="F30" s="3185" t="s">
        <v>3060</v>
      </c>
      <c r="G30" s="3185" t="s">
        <v>3045</v>
      </c>
      <c r="H30" s="3185" t="s">
        <v>3088</v>
      </c>
      <c r="I30" s="3185">
        <v>1307</v>
      </c>
      <c r="J30" s="2939">
        <f t="shared" si="0"/>
        <v>2025</v>
      </c>
      <c r="K30" s="3185">
        <v>1307</v>
      </c>
      <c r="L30" s="2939">
        <f t="shared" si="1"/>
        <v>2025</v>
      </c>
      <c r="M30" s="3185">
        <v>1265.69</v>
      </c>
      <c r="N30" s="3185">
        <v>0</v>
      </c>
      <c r="O30" s="3185" t="s">
        <v>3104</v>
      </c>
    </row>
    <row r="31" spans="1:15" s="2939" customFormat="1">
      <c r="A31" s="2939" t="s">
        <v>3105</v>
      </c>
      <c r="B31" s="2939" t="s">
        <v>3042</v>
      </c>
      <c r="C31" s="2939" t="s">
        <v>3043</v>
      </c>
      <c r="D31" s="2939">
        <v>67422</v>
      </c>
      <c r="E31" s="2939">
        <v>148328.4</v>
      </c>
      <c r="F31" s="2939" t="s">
        <v>3106</v>
      </c>
      <c r="G31" s="2939" t="s">
        <v>3045</v>
      </c>
      <c r="H31" s="2939" t="s">
        <v>3088</v>
      </c>
      <c r="I31" s="2939">
        <v>7281</v>
      </c>
      <c r="J31" s="2939">
        <f t="shared" si="0"/>
        <v>1080</v>
      </c>
      <c r="K31" s="2939">
        <v>7281</v>
      </c>
      <c r="L31" s="2939">
        <f t="shared" si="1"/>
        <v>1080</v>
      </c>
      <c r="M31" s="2939">
        <v>490.87</v>
      </c>
      <c r="N31" s="2939">
        <v>0</v>
      </c>
      <c r="O31" s="2939" t="s">
        <v>3107</v>
      </c>
    </row>
    <row r="32" spans="1:15" s="2939" customFormat="1">
      <c r="A32" s="2939" t="s">
        <v>3101</v>
      </c>
      <c r="B32" s="2939" t="s">
        <v>3042</v>
      </c>
      <c r="C32" s="2939" t="s">
        <v>3043</v>
      </c>
      <c r="D32" s="2939">
        <v>10565</v>
      </c>
      <c r="E32" s="2939">
        <v>21130</v>
      </c>
      <c r="F32" s="2939" t="s">
        <v>3080</v>
      </c>
      <c r="G32" s="2939" t="s">
        <v>3045</v>
      </c>
      <c r="H32" s="2939" t="s">
        <v>3088</v>
      </c>
      <c r="I32" s="2939">
        <v>835</v>
      </c>
      <c r="J32" s="2939">
        <f t="shared" si="0"/>
        <v>790</v>
      </c>
      <c r="K32" s="2939">
        <v>835</v>
      </c>
      <c r="L32" s="2939">
        <f t="shared" si="1"/>
        <v>790</v>
      </c>
      <c r="M32" s="2939">
        <v>395.17</v>
      </c>
      <c r="N32" s="2939">
        <v>0</v>
      </c>
      <c r="O32" s="2939" t="s">
        <v>3102</v>
      </c>
    </row>
    <row r="33" spans="1:15" s="2939" customFormat="1">
      <c r="A33" s="2939" t="s">
        <v>3105</v>
      </c>
      <c r="B33" s="2939" t="s">
        <v>3042</v>
      </c>
      <c r="C33" s="2939" t="s">
        <v>3043</v>
      </c>
      <c r="D33" s="2939">
        <v>57586</v>
      </c>
      <c r="E33" s="2939">
        <v>126689.2</v>
      </c>
      <c r="F33" s="2939" t="s">
        <v>3106</v>
      </c>
      <c r="G33" s="2939" t="s">
        <v>3045</v>
      </c>
      <c r="H33" s="2939" t="s">
        <v>3088</v>
      </c>
      <c r="I33" s="2939">
        <v>6219</v>
      </c>
      <c r="J33" s="2939">
        <f t="shared" si="0"/>
        <v>1080</v>
      </c>
      <c r="K33" s="2939">
        <v>6219</v>
      </c>
      <c r="L33" s="2939">
        <f t="shared" si="1"/>
        <v>1080</v>
      </c>
      <c r="M33" s="2939">
        <v>490.88</v>
      </c>
      <c r="N33" s="2939">
        <v>0</v>
      </c>
      <c r="O33" s="2939" t="s">
        <v>3107</v>
      </c>
    </row>
    <row r="34" spans="1:15" s="3183" customFormat="1">
      <c r="A34" s="3183" t="s">
        <v>3103</v>
      </c>
      <c r="B34" s="3183" t="s">
        <v>3042</v>
      </c>
      <c r="C34" s="3183" t="s">
        <v>3043</v>
      </c>
      <c r="D34" s="3183">
        <v>896</v>
      </c>
      <c r="E34" s="3183">
        <v>1433.6</v>
      </c>
      <c r="F34" s="3183" t="s">
        <v>3060</v>
      </c>
      <c r="G34" s="3183" t="s">
        <v>3045</v>
      </c>
      <c r="H34" s="3183" t="s">
        <v>3088</v>
      </c>
      <c r="I34" s="3183">
        <v>181</v>
      </c>
      <c r="J34" s="3183">
        <f t="shared" ref="J34:J51" si="2">ROUND(K34*10000/D34,0)</f>
        <v>2020</v>
      </c>
      <c r="K34" s="3183">
        <v>181</v>
      </c>
      <c r="L34" s="3183">
        <f t="shared" si="1"/>
        <v>2020</v>
      </c>
      <c r="M34" s="3183">
        <v>1262.55</v>
      </c>
      <c r="N34" s="3183">
        <v>0</v>
      </c>
      <c r="O34" s="3183" t="s">
        <v>3104</v>
      </c>
    </row>
    <row r="35" spans="1:15" s="2939" customFormat="1">
      <c r="A35" s="2939" t="s">
        <v>3108</v>
      </c>
      <c r="B35" s="2939" t="s">
        <v>3042</v>
      </c>
      <c r="C35" s="2939" t="s">
        <v>3043</v>
      </c>
      <c r="D35" s="2939">
        <v>2651</v>
      </c>
      <c r="E35" s="2939">
        <v>5036.8999999999996</v>
      </c>
      <c r="F35" s="2939" t="s">
        <v>3070</v>
      </c>
      <c r="G35" s="2939" t="s">
        <v>3045</v>
      </c>
      <c r="H35" s="2939" t="s">
        <v>3088</v>
      </c>
      <c r="I35" s="2939">
        <v>1791</v>
      </c>
      <c r="J35" s="2939">
        <f t="shared" si="2"/>
        <v>6756</v>
      </c>
      <c r="K35" s="2939">
        <v>1791</v>
      </c>
      <c r="L35" s="2939">
        <f t="shared" si="1"/>
        <v>6756</v>
      </c>
      <c r="M35" s="2939">
        <v>3555.76</v>
      </c>
      <c r="N35" s="2939">
        <v>0</v>
      </c>
      <c r="O35" s="2939" t="s">
        <v>3071</v>
      </c>
    </row>
    <row r="36" spans="1:15" s="2939" customFormat="1">
      <c r="A36" s="2939" t="s">
        <v>3105</v>
      </c>
      <c r="B36" s="2939" t="s">
        <v>3042</v>
      </c>
      <c r="C36" s="2939" t="s">
        <v>3043</v>
      </c>
      <c r="D36" s="2939">
        <v>67505</v>
      </c>
      <c r="E36" s="2939">
        <v>148511</v>
      </c>
      <c r="F36" s="2939" t="s">
        <v>3106</v>
      </c>
      <c r="G36" s="2939" t="s">
        <v>3045</v>
      </c>
      <c r="H36" s="2939" t="s">
        <v>3088</v>
      </c>
      <c r="I36" s="2939">
        <v>7291</v>
      </c>
      <c r="J36" s="2939">
        <f t="shared" si="2"/>
        <v>1080</v>
      </c>
      <c r="K36" s="2939">
        <v>7291</v>
      </c>
      <c r="L36" s="2939">
        <f t="shared" si="1"/>
        <v>1080</v>
      </c>
      <c r="M36" s="2939">
        <v>490.93</v>
      </c>
      <c r="N36" s="2939">
        <v>0</v>
      </c>
      <c r="O36" s="2939" t="s">
        <v>3107</v>
      </c>
    </row>
    <row r="37" spans="1:15" s="2939" customFormat="1">
      <c r="A37" s="2939" t="s">
        <v>3109</v>
      </c>
      <c r="B37" s="2939" t="s">
        <v>3042</v>
      </c>
      <c r="C37" s="2939" t="s">
        <v>3043</v>
      </c>
      <c r="D37" s="2939">
        <v>18160</v>
      </c>
      <c r="E37" s="2939">
        <v>49032</v>
      </c>
      <c r="F37" s="2939" t="s">
        <v>3110</v>
      </c>
      <c r="G37" s="2939" t="s">
        <v>3045</v>
      </c>
      <c r="H37" s="2939" t="s">
        <v>3111</v>
      </c>
      <c r="I37" s="2939">
        <v>5448</v>
      </c>
      <c r="J37" s="2939">
        <f t="shared" si="2"/>
        <v>3000</v>
      </c>
      <c r="K37" s="2939">
        <v>5448</v>
      </c>
      <c r="L37" s="2939">
        <f t="shared" si="1"/>
        <v>3000</v>
      </c>
      <c r="M37" s="2939">
        <v>1111.0999999999999</v>
      </c>
      <c r="N37" s="2939">
        <v>0</v>
      </c>
      <c r="O37" s="2939" t="s">
        <v>3112</v>
      </c>
    </row>
    <row r="38" spans="1:15" s="2939" customFormat="1">
      <c r="A38" s="2939" t="s">
        <v>3113</v>
      </c>
      <c r="B38" s="2939" t="s">
        <v>3042</v>
      </c>
      <c r="C38" s="2939" t="s">
        <v>3043</v>
      </c>
      <c r="D38" s="2939">
        <v>61593</v>
      </c>
      <c r="E38" s="2939">
        <v>141663.9</v>
      </c>
      <c r="F38" s="2939" t="s">
        <v>3114</v>
      </c>
      <c r="G38" s="2939" t="s">
        <v>3045</v>
      </c>
      <c r="H38" s="2939" t="s">
        <v>3115</v>
      </c>
      <c r="I38" s="2939">
        <v>18478</v>
      </c>
      <c r="J38" s="2939">
        <f t="shared" si="2"/>
        <v>3000</v>
      </c>
      <c r="K38" s="2939">
        <v>18478</v>
      </c>
      <c r="L38" s="2939">
        <f t="shared" si="1"/>
        <v>3000</v>
      </c>
      <c r="M38" s="2939">
        <v>1304.3399999999999</v>
      </c>
      <c r="N38" s="2939">
        <v>0</v>
      </c>
      <c r="O38" s="2939" t="s">
        <v>3116</v>
      </c>
    </row>
    <row r="39" spans="1:15" s="3191" customFormat="1">
      <c r="A39" s="3192" t="s">
        <v>3148</v>
      </c>
      <c r="B39" s="3191" t="s">
        <v>3042</v>
      </c>
      <c r="C39" s="3191" t="s">
        <v>3043</v>
      </c>
      <c r="D39" s="3191">
        <v>26269</v>
      </c>
      <c r="E39" s="3191">
        <v>55164.9</v>
      </c>
      <c r="F39" s="3191" t="s">
        <v>3117</v>
      </c>
      <c r="G39" s="3191" t="s">
        <v>3045</v>
      </c>
      <c r="H39" s="3191" t="s">
        <v>3115</v>
      </c>
      <c r="I39" s="3191">
        <v>7880</v>
      </c>
      <c r="J39" s="3191">
        <f t="shared" si="2"/>
        <v>3000</v>
      </c>
      <c r="K39" s="3191">
        <v>7880</v>
      </c>
      <c r="L39" s="3191">
        <f t="shared" si="1"/>
        <v>3000</v>
      </c>
      <c r="M39" s="3191">
        <v>1428.44</v>
      </c>
      <c r="N39" s="3191">
        <v>0</v>
      </c>
      <c r="O39" s="3191" t="s">
        <v>3116</v>
      </c>
    </row>
    <row r="40" spans="1:15" s="2939" customFormat="1">
      <c r="A40" s="2939" t="s">
        <v>3118</v>
      </c>
      <c r="B40" s="2939" t="s">
        <v>3042</v>
      </c>
      <c r="C40" s="2939" t="s">
        <v>3043</v>
      </c>
      <c r="D40" s="2939">
        <v>47050</v>
      </c>
      <c r="E40" s="2939">
        <v>98805</v>
      </c>
      <c r="F40" s="2939" t="s">
        <v>3117</v>
      </c>
      <c r="G40" s="2939" t="s">
        <v>3045</v>
      </c>
      <c r="H40" s="2939" t="s">
        <v>3115</v>
      </c>
      <c r="I40" s="2939">
        <v>14116</v>
      </c>
      <c r="J40" s="2939">
        <f t="shared" si="2"/>
        <v>3000</v>
      </c>
      <c r="K40" s="2939">
        <v>14116</v>
      </c>
      <c r="L40" s="2939">
        <f t="shared" si="1"/>
        <v>3000</v>
      </c>
      <c r="M40" s="2939">
        <v>1428.67</v>
      </c>
      <c r="N40" s="2939">
        <v>0</v>
      </c>
      <c r="O40" s="2939" t="s">
        <v>3116</v>
      </c>
    </row>
    <row r="41" spans="1:15" s="2939" customFormat="1">
      <c r="A41" s="2939" t="s">
        <v>3119</v>
      </c>
      <c r="B41" s="2939" t="s">
        <v>3042</v>
      </c>
      <c r="C41" s="2939" t="s">
        <v>3043</v>
      </c>
      <c r="D41" s="2939">
        <v>44664</v>
      </c>
      <c r="E41" s="2939">
        <v>120592.8</v>
      </c>
      <c r="F41" s="2939" t="s">
        <v>3110</v>
      </c>
      <c r="G41" s="2939" t="s">
        <v>3045</v>
      </c>
      <c r="H41" s="2939" t="s">
        <v>3115</v>
      </c>
      <c r="I41" s="2939">
        <v>13400</v>
      </c>
      <c r="J41" s="2939">
        <f t="shared" si="2"/>
        <v>3000</v>
      </c>
      <c r="K41" s="2939">
        <v>13400</v>
      </c>
      <c r="L41" s="2939">
        <f t="shared" si="1"/>
        <v>3000</v>
      </c>
      <c r="M41" s="2939">
        <v>1111.18</v>
      </c>
      <c r="N41" s="2939">
        <v>0</v>
      </c>
      <c r="O41" s="2939" t="s">
        <v>3116</v>
      </c>
    </row>
    <row r="42" spans="1:15" s="2939" customFormat="1">
      <c r="A42" s="2939" t="s">
        <v>3120</v>
      </c>
      <c r="B42" s="2939" t="s">
        <v>3042</v>
      </c>
      <c r="C42" s="2939" t="s">
        <v>3043</v>
      </c>
      <c r="D42" s="2939">
        <v>26026</v>
      </c>
      <c r="E42" s="2939">
        <v>62462.400000000001</v>
      </c>
      <c r="F42" s="2939" t="s">
        <v>3121</v>
      </c>
      <c r="G42" s="2939" t="s">
        <v>3045</v>
      </c>
      <c r="H42" s="2939" t="s">
        <v>3115</v>
      </c>
      <c r="I42" s="2939">
        <v>7808</v>
      </c>
      <c r="J42" s="2939">
        <f t="shared" si="2"/>
        <v>3000</v>
      </c>
      <c r="K42" s="2939">
        <v>7808</v>
      </c>
      <c r="L42" s="2939">
        <f t="shared" si="1"/>
        <v>3000</v>
      </c>
      <c r="M42" s="2939">
        <v>1250.02</v>
      </c>
      <c r="N42" s="2939">
        <v>0</v>
      </c>
      <c r="O42" s="2939" t="s">
        <v>3116</v>
      </c>
    </row>
    <row r="43" spans="1:15" s="2939" customFormat="1">
      <c r="A43" s="2939" t="s">
        <v>3122</v>
      </c>
      <c r="B43" s="2939" t="s">
        <v>3042</v>
      </c>
      <c r="C43" s="2939" t="s">
        <v>3043</v>
      </c>
      <c r="D43" s="2939">
        <v>44909</v>
      </c>
      <c r="E43" s="2939">
        <v>76345.3</v>
      </c>
      <c r="F43" s="2939" t="s">
        <v>3123</v>
      </c>
      <c r="G43" s="2939" t="s">
        <v>3045</v>
      </c>
      <c r="H43" s="2939" t="s">
        <v>3115</v>
      </c>
      <c r="I43" s="2939">
        <v>13472</v>
      </c>
      <c r="J43" s="2939">
        <f t="shared" si="2"/>
        <v>3000</v>
      </c>
      <c r="K43" s="2939">
        <v>13472</v>
      </c>
      <c r="L43" s="2939">
        <f t="shared" si="1"/>
        <v>3000</v>
      </c>
      <c r="M43" s="2939">
        <v>1764.6</v>
      </c>
      <c r="N43" s="2939">
        <v>0</v>
      </c>
      <c r="O43" s="2939" t="s">
        <v>3116</v>
      </c>
    </row>
    <row r="44" spans="1:15" s="2939" customFormat="1">
      <c r="A44" s="2939" t="s">
        <v>3124</v>
      </c>
      <c r="B44" s="2939" t="s">
        <v>3042</v>
      </c>
      <c r="C44" s="2939" t="s">
        <v>3043</v>
      </c>
      <c r="D44" s="2939">
        <v>36101</v>
      </c>
      <c r="E44" s="2939">
        <v>54151.5</v>
      </c>
      <c r="F44" s="2939" t="s">
        <v>3125</v>
      </c>
      <c r="G44" s="2939" t="s">
        <v>3045</v>
      </c>
      <c r="H44" s="2939" t="s">
        <v>3115</v>
      </c>
      <c r="I44" s="2939">
        <v>10830</v>
      </c>
      <c r="J44" s="2939">
        <f t="shared" si="2"/>
        <v>3000</v>
      </c>
      <c r="K44" s="2939">
        <v>10830</v>
      </c>
      <c r="L44" s="2939">
        <f t="shared" si="1"/>
        <v>3000</v>
      </c>
      <c r="M44" s="2939">
        <v>1999.94</v>
      </c>
      <c r="N44" s="2939">
        <v>0</v>
      </c>
      <c r="O44" s="2939" t="s">
        <v>3116</v>
      </c>
    </row>
    <row r="45" spans="1:15" s="2939" customFormat="1">
      <c r="A45" s="2939" t="s">
        <v>3126</v>
      </c>
      <c r="B45" s="2939" t="s">
        <v>3042</v>
      </c>
      <c r="C45" s="2939" t="s">
        <v>3043</v>
      </c>
      <c r="D45" s="2939">
        <v>62004</v>
      </c>
      <c r="E45" s="2939">
        <v>155010</v>
      </c>
      <c r="F45" s="2939" t="s">
        <v>3067</v>
      </c>
      <c r="G45" s="2939" t="s">
        <v>3045</v>
      </c>
      <c r="H45" s="2939" t="s">
        <v>3115</v>
      </c>
      <c r="I45" s="2939">
        <v>18602</v>
      </c>
      <c r="J45" s="2939">
        <f t="shared" si="2"/>
        <v>3000</v>
      </c>
      <c r="K45" s="2939">
        <v>18602</v>
      </c>
      <c r="L45" s="2939">
        <f t="shared" si="1"/>
        <v>3000</v>
      </c>
      <c r="M45" s="2939">
        <v>1200.04</v>
      </c>
      <c r="N45" s="2939">
        <v>0</v>
      </c>
      <c r="O45" s="2939" t="s">
        <v>3116</v>
      </c>
    </row>
    <row r="46" spans="1:15" s="2939" customFormat="1">
      <c r="A46" s="2939" t="s">
        <v>3127</v>
      </c>
      <c r="B46" s="2939" t="s">
        <v>3042</v>
      </c>
      <c r="C46" s="2939" t="s">
        <v>3043</v>
      </c>
      <c r="D46" s="2939">
        <v>64629</v>
      </c>
      <c r="E46" s="2939">
        <v>161572.5</v>
      </c>
      <c r="F46" s="2939" t="s">
        <v>3067</v>
      </c>
      <c r="G46" s="2939" t="s">
        <v>3045</v>
      </c>
      <c r="H46" s="2939" t="s">
        <v>3115</v>
      </c>
      <c r="I46" s="2939">
        <v>19388</v>
      </c>
      <c r="J46" s="2939">
        <f t="shared" si="2"/>
        <v>3000</v>
      </c>
      <c r="K46" s="2939">
        <v>19388</v>
      </c>
      <c r="L46" s="2939">
        <f t="shared" si="1"/>
        <v>3000</v>
      </c>
      <c r="M46" s="2939">
        <v>1199.96</v>
      </c>
      <c r="N46" s="2939">
        <v>0</v>
      </c>
      <c r="O46" s="2939" t="s">
        <v>3116</v>
      </c>
    </row>
    <row r="47" spans="1:15" s="2939" customFormat="1">
      <c r="A47" s="2939" t="s">
        <v>3128</v>
      </c>
      <c r="B47" s="2939" t="s">
        <v>3042</v>
      </c>
      <c r="C47" s="2939" t="s">
        <v>3043</v>
      </c>
      <c r="D47" s="2939">
        <v>22586</v>
      </c>
      <c r="E47" s="2939">
        <v>31620.400000000001</v>
      </c>
      <c r="F47" s="2939" t="s">
        <v>3090</v>
      </c>
      <c r="G47" s="2939" t="s">
        <v>3045</v>
      </c>
      <c r="H47" s="2939" t="s">
        <v>3115</v>
      </c>
      <c r="I47" s="2939">
        <v>6776</v>
      </c>
      <c r="J47" s="2939">
        <f t="shared" si="2"/>
        <v>3000</v>
      </c>
      <c r="K47" s="2939">
        <v>6776</v>
      </c>
      <c r="L47" s="2939">
        <f t="shared" si="1"/>
        <v>3000</v>
      </c>
      <c r="M47" s="2939">
        <v>2142.92</v>
      </c>
      <c r="N47" s="2939">
        <v>0</v>
      </c>
      <c r="O47" s="2939" t="s">
        <v>3116</v>
      </c>
    </row>
    <row r="48" spans="1:15" s="2939" customFormat="1">
      <c r="A48" s="2939" t="s">
        <v>3120</v>
      </c>
      <c r="B48" s="2939" t="s">
        <v>3042</v>
      </c>
      <c r="C48" s="2939" t="s">
        <v>3043</v>
      </c>
      <c r="D48" s="2939">
        <v>51714</v>
      </c>
      <c r="E48" s="2939">
        <v>124113.60000000001</v>
      </c>
      <c r="F48" s="2939" t="s">
        <v>3121</v>
      </c>
      <c r="G48" s="2939" t="s">
        <v>3045</v>
      </c>
      <c r="H48" s="2939" t="s">
        <v>3115</v>
      </c>
      <c r="I48" s="2939">
        <v>15514</v>
      </c>
      <c r="J48" s="2939">
        <f t="shared" si="2"/>
        <v>3000</v>
      </c>
      <c r="K48" s="2939">
        <v>15514</v>
      </c>
      <c r="L48" s="2939">
        <f t="shared" si="1"/>
        <v>3000</v>
      </c>
      <c r="M48" s="2939">
        <v>1249.98</v>
      </c>
      <c r="N48" s="2939">
        <v>0</v>
      </c>
      <c r="O48" s="2939" t="s">
        <v>3116</v>
      </c>
    </row>
    <row r="49" spans="1:15" s="2939" customFormat="1">
      <c r="A49" s="2939" t="s">
        <v>3129</v>
      </c>
      <c r="B49" s="2939" t="s">
        <v>3042</v>
      </c>
      <c r="C49" s="2939" t="s">
        <v>3043</v>
      </c>
      <c r="D49" s="2939">
        <v>54768</v>
      </c>
      <c r="E49" s="2939">
        <v>115012.8</v>
      </c>
      <c r="F49" s="2939" t="s">
        <v>3117</v>
      </c>
      <c r="G49" s="2939" t="s">
        <v>3045</v>
      </c>
      <c r="H49" s="2939" t="s">
        <v>3115</v>
      </c>
      <c r="I49" s="2939">
        <v>16430</v>
      </c>
      <c r="J49" s="2939">
        <f t="shared" si="2"/>
        <v>3000</v>
      </c>
      <c r="K49" s="2939">
        <v>16430</v>
      </c>
      <c r="L49" s="2939">
        <f t="shared" si="1"/>
        <v>3000</v>
      </c>
      <c r="M49" s="2939">
        <v>1428.53</v>
      </c>
      <c r="N49" s="2939">
        <v>0</v>
      </c>
      <c r="O49" s="2939" t="s">
        <v>3116</v>
      </c>
    </row>
    <row r="50" spans="1:15" s="2939" customFormat="1">
      <c r="A50" s="2939" t="s">
        <v>3130</v>
      </c>
      <c r="B50" s="2939" t="s">
        <v>3042</v>
      </c>
      <c r="C50" s="2939" t="s">
        <v>3043</v>
      </c>
      <c r="D50" s="2939">
        <v>56577</v>
      </c>
      <c r="E50" s="2939">
        <v>130127.1</v>
      </c>
      <c r="F50" s="2939" t="s">
        <v>3114</v>
      </c>
      <c r="G50" s="2939" t="s">
        <v>3045</v>
      </c>
      <c r="H50" s="2939" t="s">
        <v>3115</v>
      </c>
      <c r="I50" s="2939">
        <v>16974</v>
      </c>
      <c r="J50" s="2939">
        <f t="shared" si="2"/>
        <v>3000</v>
      </c>
      <c r="K50" s="2939">
        <v>16974</v>
      </c>
      <c r="L50" s="2939">
        <f t="shared" si="1"/>
        <v>3000</v>
      </c>
      <c r="M50" s="2939">
        <v>1304.42</v>
      </c>
      <c r="N50" s="2939">
        <v>0</v>
      </c>
      <c r="O50" s="2939" t="s">
        <v>3116</v>
      </c>
    </row>
    <row r="51" spans="1:15" s="2939" customFormat="1">
      <c r="A51" s="2939" t="s">
        <v>3131</v>
      </c>
      <c r="B51" s="2939" t="s">
        <v>3042</v>
      </c>
      <c r="C51" s="2939" t="s">
        <v>3043</v>
      </c>
      <c r="D51" s="2939">
        <v>36754</v>
      </c>
      <c r="E51" s="2939">
        <v>73508</v>
      </c>
      <c r="F51" s="2939" t="s">
        <v>3080</v>
      </c>
      <c r="G51" s="2939" t="s">
        <v>3045</v>
      </c>
      <c r="H51" s="2939" t="s">
        <v>3132</v>
      </c>
      <c r="I51" s="2939">
        <v>37488</v>
      </c>
      <c r="J51" s="2939">
        <f t="shared" si="2"/>
        <v>14692</v>
      </c>
      <c r="K51" s="2939">
        <v>54000</v>
      </c>
      <c r="L51" s="2939">
        <f t="shared" si="1"/>
        <v>14692</v>
      </c>
      <c r="M51" s="2939">
        <v>7346.14</v>
      </c>
      <c r="N51" s="2939">
        <v>44.05</v>
      </c>
      <c r="O51" s="2939" t="s">
        <v>3133</v>
      </c>
    </row>
    <row r="52" spans="1:15">
      <c r="A52" s="3497" t="s">
        <v>3028</v>
      </c>
      <c r="B52" s="3497" t="s">
        <v>3029</v>
      </c>
      <c r="C52" s="3497" t="s">
        <v>3030</v>
      </c>
      <c r="D52" s="3497" t="s">
        <v>3031</v>
      </c>
      <c r="E52" s="3497" t="s">
        <v>3032</v>
      </c>
      <c r="F52" s="3497" t="s">
        <v>2034</v>
      </c>
      <c r="G52" s="3497" t="s">
        <v>3033</v>
      </c>
      <c r="H52" s="3497" t="s">
        <v>3034</v>
      </c>
      <c r="I52" s="3497" t="s">
        <v>3035</v>
      </c>
      <c r="J52" s="3497" t="s">
        <v>3036</v>
      </c>
      <c r="K52" s="3497" t="s">
        <v>3038</v>
      </c>
      <c r="L52" s="3497" t="s">
        <v>3039</v>
      </c>
      <c r="M52" s="3497" t="s">
        <v>3040</v>
      </c>
    </row>
    <row r="53" spans="1:15">
      <c r="A53" s="3497" t="s">
        <v>3187</v>
      </c>
      <c r="B53" s="3497" t="s">
        <v>3042</v>
      </c>
      <c r="C53" s="3497" t="s">
        <v>3043</v>
      </c>
      <c r="D53" s="3497">
        <v>18256</v>
      </c>
      <c r="E53" s="3497">
        <v>45640</v>
      </c>
      <c r="F53" s="3497" t="s">
        <v>3188</v>
      </c>
      <c r="G53" s="3497" t="s">
        <v>3045</v>
      </c>
      <c r="H53" s="3497" t="s">
        <v>3189</v>
      </c>
      <c r="I53" s="3497">
        <v>19166</v>
      </c>
      <c r="J53" s="3497">
        <v>19486</v>
      </c>
      <c r="K53" s="3497">
        <v>4269.5</v>
      </c>
      <c r="L53" s="3497">
        <v>1.67</v>
      </c>
      <c r="M53" s="3497" t="s">
        <v>3097</v>
      </c>
    </row>
    <row r="54" spans="1:15">
      <c r="A54" s="3497" t="s">
        <v>3190</v>
      </c>
      <c r="B54" s="3497" t="s">
        <v>3042</v>
      </c>
      <c r="C54" s="3497" t="s">
        <v>3043</v>
      </c>
      <c r="D54" s="3497">
        <v>6166</v>
      </c>
      <c r="E54" s="3497">
        <v>12332</v>
      </c>
      <c r="F54" s="3497" t="s">
        <v>3191</v>
      </c>
      <c r="G54" s="3497" t="s">
        <v>3045</v>
      </c>
      <c r="H54" s="3497" t="s">
        <v>3189</v>
      </c>
      <c r="I54" s="3497">
        <v>6013</v>
      </c>
      <c r="J54" s="3497">
        <v>6013</v>
      </c>
      <c r="K54" s="3497">
        <v>4875.93</v>
      </c>
      <c r="L54" s="3497">
        <v>0</v>
      </c>
      <c r="M54" s="3497" t="s">
        <v>3192</v>
      </c>
    </row>
    <row r="55" spans="1:15">
      <c r="A55" s="3497" t="s">
        <v>3193</v>
      </c>
      <c r="B55" s="3497" t="s">
        <v>3042</v>
      </c>
      <c r="C55" s="3497" t="s">
        <v>3043</v>
      </c>
      <c r="D55" s="3497">
        <v>80</v>
      </c>
      <c r="E55" s="3497">
        <v>200</v>
      </c>
      <c r="F55" s="3497" t="s">
        <v>3188</v>
      </c>
      <c r="G55" s="3497" t="s">
        <v>3045</v>
      </c>
      <c r="H55" s="3497" t="s">
        <v>3189</v>
      </c>
      <c r="I55" s="3497">
        <v>84</v>
      </c>
      <c r="J55" s="3497">
        <v>84</v>
      </c>
      <c r="K55" s="3497">
        <v>4200</v>
      </c>
      <c r="L55" s="3497">
        <v>0</v>
      </c>
      <c r="M55" s="3497" t="s">
        <v>3097</v>
      </c>
    </row>
    <row r="56" spans="1:15">
      <c r="A56" s="3497" t="s">
        <v>3194</v>
      </c>
      <c r="B56" s="3497" t="s">
        <v>3042</v>
      </c>
      <c r="C56" s="3497" t="s">
        <v>3043</v>
      </c>
      <c r="D56" s="3497">
        <v>6311</v>
      </c>
      <c r="E56" s="3497">
        <v>6626.55</v>
      </c>
      <c r="F56" s="3497" t="s">
        <v>3056</v>
      </c>
      <c r="G56" s="3497" t="s">
        <v>3045</v>
      </c>
      <c r="H56" s="3497" t="s">
        <v>3195</v>
      </c>
      <c r="I56" s="3497">
        <v>778</v>
      </c>
      <c r="J56" s="3497">
        <v>778</v>
      </c>
      <c r="K56" s="3497">
        <v>1174.05</v>
      </c>
      <c r="L56" s="3497">
        <v>0</v>
      </c>
      <c r="M56" s="3497" t="s">
        <v>3196</v>
      </c>
    </row>
    <row r="57" spans="1:15">
      <c r="A57" s="3497" t="s">
        <v>3197</v>
      </c>
      <c r="B57" s="3497" t="s">
        <v>3042</v>
      </c>
      <c r="C57" s="3497" t="s">
        <v>3043</v>
      </c>
      <c r="D57" s="3497">
        <v>8563</v>
      </c>
      <c r="E57" s="3497">
        <v>8991.15</v>
      </c>
      <c r="F57" s="3497" t="s">
        <v>3056</v>
      </c>
      <c r="G57" s="3497" t="s">
        <v>3045</v>
      </c>
      <c r="H57" s="3497" t="s">
        <v>3195</v>
      </c>
      <c r="I57" s="3497">
        <v>1055</v>
      </c>
      <c r="J57" s="3497">
        <v>1055</v>
      </c>
      <c r="K57" s="3497">
        <v>1173.3800000000001</v>
      </c>
      <c r="L57" s="3497">
        <v>0</v>
      </c>
      <c r="M57" s="3497" t="s">
        <v>3196</v>
      </c>
    </row>
    <row r="58" spans="1:15">
      <c r="A58" s="3497" t="s">
        <v>3198</v>
      </c>
      <c r="B58" s="3497" t="s">
        <v>3042</v>
      </c>
      <c r="C58" s="3497" t="s">
        <v>3043</v>
      </c>
      <c r="D58" s="3497">
        <v>7988</v>
      </c>
      <c r="E58" s="3497">
        <v>8387.4</v>
      </c>
      <c r="F58" s="3497" t="s">
        <v>3056</v>
      </c>
      <c r="G58" s="3497" t="s">
        <v>3045</v>
      </c>
      <c r="H58" s="3497" t="s">
        <v>3195</v>
      </c>
      <c r="I58" s="3497">
        <v>985</v>
      </c>
      <c r="J58" s="3497">
        <v>985</v>
      </c>
      <c r="K58" s="3497">
        <v>1174.3800000000001</v>
      </c>
      <c r="L58" s="3497">
        <v>0</v>
      </c>
      <c r="M58" s="3497" t="s">
        <v>3196</v>
      </c>
    </row>
    <row r="59" spans="1:15">
      <c r="A59" s="3497" t="s">
        <v>3198</v>
      </c>
      <c r="B59" s="3497" t="s">
        <v>3042</v>
      </c>
      <c r="C59" s="3497" t="s">
        <v>3043</v>
      </c>
      <c r="D59" s="3497">
        <v>13157</v>
      </c>
      <c r="E59" s="3497">
        <v>13814.85</v>
      </c>
      <c r="F59" s="3497" t="s">
        <v>3056</v>
      </c>
      <c r="G59" s="3497" t="s">
        <v>3045</v>
      </c>
      <c r="H59" s="3497" t="s">
        <v>3195</v>
      </c>
      <c r="I59" s="3497">
        <v>1623</v>
      </c>
      <c r="J59" s="3497">
        <v>1623</v>
      </c>
      <c r="K59" s="3497">
        <v>1174.81</v>
      </c>
      <c r="L59" s="3497">
        <v>0</v>
      </c>
      <c r="M59" s="3497" t="s">
        <v>3196</v>
      </c>
    </row>
    <row r="60" spans="1:15">
      <c r="A60" s="3497" t="s">
        <v>3199</v>
      </c>
      <c r="B60" s="3497" t="s">
        <v>3042</v>
      </c>
      <c r="C60" s="3497" t="s">
        <v>3043</v>
      </c>
      <c r="D60" s="3497">
        <v>20423</v>
      </c>
      <c r="E60" s="3497">
        <v>32676.799999999999</v>
      </c>
      <c r="F60" s="3497" t="s">
        <v>3060</v>
      </c>
      <c r="G60" s="3497" t="s">
        <v>3045</v>
      </c>
      <c r="H60" s="3497" t="s">
        <v>3195</v>
      </c>
      <c r="I60" s="3497">
        <v>3498</v>
      </c>
      <c r="J60" s="3497">
        <v>3498</v>
      </c>
      <c r="K60" s="3497">
        <v>1070.48</v>
      </c>
      <c r="L60" s="3497">
        <v>0</v>
      </c>
      <c r="M60" s="3497" t="s">
        <v>3196</v>
      </c>
    </row>
    <row r="61" spans="1:15" s="3498" customFormat="1">
      <c r="A61" s="3499" t="s">
        <v>3225</v>
      </c>
      <c r="B61" s="3496" t="s">
        <v>3042</v>
      </c>
      <c r="C61" s="3496" t="s">
        <v>3043</v>
      </c>
      <c r="D61" s="3496">
        <v>15670</v>
      </c>
      <c r="E61" s="3496">
        <v>18804</v>
      </c>
      <c r="F61" s="3496" t="s">
        <v>3200</v>
      </c>
      <c r="G61" s="3496" t="s">
        <v>3045</v>
      </c>
      <c r="H61" s="3496" t="s">
        <v>3195</v>
      </c>
      <c r="I61" s="3496">
        <v>2685</v>
      </c>
      <c r="J61" s="3496">
        <v>2685</v>
      </c>
      <c r="K61" s="3496">
        <v>1427.89</v>
      </c>
      <c r="L61" s="3496">
        <v>0</v>
      </c>
      <c r="M61" s="3496" t="s">
        <v>3196</v>
      </c>
    </row>
    <row r="62" spans="1:15">
      <c r="A62" s="3497" t="s">
        <v>3199</v>
      </c>
      <c r="B62" s="3497" t="s">
        <v>3042</v>
      </c>
      <c r="C62" s="3497" t="s">
        <v>3043</v>
      </c>
      <c r="D62" s="3497">
        <v>2718</v>
      </c>
      <c r="E62" s="3497">
        <v>2989.8</v>
      </c>
      <c r="F62" s="3497" t="s">
        <v>3044</v>
      </c>
      <c r="G62" s="3497" t="s">
        <v>3045</v>
      </c>
      <c r="H62" s="3497" t="s">
        <v>3195</v>
      </c>
      <c r="I62" s="3497">
        <v>394</v>
      </c>
      <c r="J62" s="3497">
        <v>394</v>
      </c>
      <c r="K62" s="3497">
        <v>1317.8</v>
      </c>
      <c r="L62" s="3497">
        <v>0</v>
      </c>
      <c r="M62" s="3497" t="s">
        <v>3196</v>
      </c>
    </row>
    <row r="63" spans="1:15">
      <c r="A63" s="3497" t="s">
        <v>3201</v>
      </c>
      <c r="B63" s="3497" t="s">
        <v>3042</v>
      </c>
      <c r="C63" s="3497" t="s">
        <v>3043</v>
      </c>
      <c r="D63" s="3497">
        <v>55493</v>
      </c>
      <c r="E63" s="3497">
        <v>61042.3</v>
      </c>
      <c r="F63" s="3497" t="s">
        <v>3044</v>
      </c>
      <c r="G63" s="3497" t="s">
        <v>3045</v>
      </c>
      <c r="H63" s="3497" t="s">
        <v>3195</v>
      </c>
      <c r="I63" s="3497">
        <v>7586</v>
      </c>
      <c r="J63" s="3497">
        <v>7586</v>
      </c>
      <c r="K63" s="3497">
        <v>1242.74</v>
      </c>
      <c r="L63" s="3497">
        <v>0</v>
      </c>
      <c r="M63" s="3497" t="s">
        <v>3196</v>
      </c>
    </row>
    <row r="64" spans="1:15">
      <c r="A64" s="3497" t="s">
        <v>3199</v>
      </c>
      <c r="B64" s="3497" t="s">
        <v>3042</v>
      </c>
      <c r="C64" s="3497" t="s">
        <v>3043</v>
      </c>
      <c r="D64" s="3497">
        <v>21548</v>
      </c>
      <c r="E64" s="3497">
        <v>34476.800000000003</v>
      </c>
      <c r="F64" s="3497" t="s">
        <v>3060</v>
      </c>
      <c r="G64" s="3497" t="s">
        <v>3045</v>
      </c>
      <c r="H64" s="3497" t="s">
        <v>3195</v>
      </c>
      <c r="I64" s="3497">
        <v>3691</v>
      </c>
      <c r="J64" s="3497">
        <v>3691</v>
      </c>
      <c r="K64" s="3497">
        <v>1070.56</v>
      </c>
      <c r="L64" s="3497">
        <v>0</v>
      </c>
      <c r="M64" s="3497" t="s">
        <v>3196</v>
      </c>
    </row>
    <row r="65" spans="1:13">
      <c r="A65" s="3497" t="s">
        <v>3199</v>
      </c>
      <c r="B65" s="3497" t="s">
        <v>3042</v>
      </c>
      <c r="C65" s="3497" t="s">
        <v>3043</v>
      </c>
      <c r="D65" s="3497">
        <v>16012</v>
      </c>
      <c r="E65" s="3497">
        <v>16812.599999999999</v>
      </c>
      <c r="F65" s="3497" t="s">
        <v>3056</v>
      </c>
      <c r="G65" s="3497" t="s">
        <v>3045</v>
      </c>
      <c r="H65" s="3497" t="s">
        <v>3195</v>
      </c>
      <c r="I65" s="3497">
        <v>1974</v>
      </c>
      <c r="J65" s="3497">
        <v>1974</v>
      </c>
      <c r="K65" s="3497">
        <v>1174.1099999999999</v>
      </c>
      <c r="L65" s="3497">
        <v>0</v>
      </c>
      <c r="M65" s="3497" t="s">
        <v>3196</v>
      </c>
    </row>
    <row r="66" spans="1:13">
      <c r="A66" s="3497" t="s">
        <v>3202</v>
      </c>
      <c r="B66" s="3497" t="s">
        <v>3042</v>
      </c>
      <c r="C66" s="3497" t="s">
        <v>3043</v>
      </c>
      <c r="D66" s="3497">
        <v>24872</v>
      </c>
      <c r="E66" s="3497">
        <v>39795.199999999997</v>
      </c>
      <c r="F66" s="3497" t="s">
        <v>3060</v>
      </c>
      <c r="G66" s="3497" t="s">
        <v>3045</v>
      </c>
      <c r="H66" s="3497" t="s">
        <v>3195</v>
      </c>
      <c r="I66" s="3497">
        <v>3440</v>
      </c>
      <c r="J66" s="3497">
        <v>3440</v>
      </c>
      <c r="K66" s="3497">
        <v>864.42</v>
      </c>
      <c r="L66" s="3497">
        <v>0</v>
      </c>
      <c r="M66" s="3497" t="s">
        <v>3196</v>
      </c>
    </row>
    <row r="67" spans="1:13">
      <c r="A67" s="3497" t="s">
        <v>3201</v>
      </c>
      <c r="B67" s="3497" t="s">
        <v>3042</v>
      </c>
      <c r="C67" s="3497" t="s">
        <v>3043</v>
      </c>
      <c r="D67" s="3497">
        <v>22061</v>
      </c>
      <c r="E67" s="3497">
        <v>24267.1</v>
      </c>
      <c r="F67" s="3497" t="s">
        <v>3044</v>
      </c>
      <c r="G67" s="3497" t="s">
        <v>3045</v>
      </c>
      <c r="H67" s="3497" t="s">
        <v>3195</v>
      </c>
      <c r="I67" s="3497">
        <v>3015</v>
      </c>
      <c r="J67" s="3497">
        <v>3015</v>
      </c>
      <c r="K67" s="3497">
        <v>1242.42</v>
      </c>
      <c r="L67" s="3497">
        <v>0</v>
      </c>
      <c r="M67" s="3497" t="s">
        <v>3196</v>
      </c>
    </row>
    <row r="68" spans="1:13">
      <c r="A68" s="3497" t="s">
        <v>3203</v>
      </c>
      <c r="B68" s="3497" t="s">
        <v>3042</v>
      </c>
      <c r="C68" s="3497" t="s">
        <v>3043</v>
      </c>
      <c r="D68" s="3497">
        <v>50313</v>
      </c>
      <c r="E68" s="3497">
        <v>60375.6</v>
      </c>
      <c r="F68" s="3497" t="s">
        <v>3200</v>
      </c>
      <c r="G68" s="3497" t="s">
        <v>3045</v>
      </c>
      <c r="H68" s="3497" t="s">
        <v>3195</v>
      </c>
      <c r="I68" s="3497">
        <v>7290</v>
      </c>
      <c r="J68" s="3497">
        <v>7290</v>
      </c>
      <c r="K68" s="3497">
        <v>1207.44</v>
      </c>
      <c r="L68" s="3497">
        <v>0</v>
      </c>
      <c r="M68" s="3497" t="s">
        <v>3196</v>
      </c>
    </row>
    <row r="69" spans="1:13">
      <c r="A69" s="3497" t="s">
        <v>3199</v>
      </c>
      <c r="B69" s="3497" t="s">
        <v>3042</v>
      </c>
      <c r="C69" s="3497" t="s">
        <v>3043</v>
      </c>
      <c r="D69" s="3497">
        <v>24336</v>
      </c>
      <c r="E69" s="3497">
        <v>26769.599999999999</v>
      </c>
      <c r="F69" s="3497" t="s">
        <v>3044</v>
      </c>
      <c r="G69" s="3497" t="s">
        <v>3045</v>
      </c>
      <c r="H69" s="3497" t="s">
        <v>3195</v>
      </c>
      <c r="I69" s="3497">
        <v>3526</v>
      </c>
      <c r="J69" s="3497">
        <v>3526</v>
      </c>
      <c r="K69" s="3497">
        <v>1317.17</v>
      </c>
      <c r="L69" s="3497">
        <v>0</v>
      </c>
      <c r="M69" s="3497" t="s">
        <v>3196</v>
      </c>
    </row>
    <row r="70" spans="1:13">
      <c r="A70" s="3497" t="s">
        <v>3199</v>
      </c>
      <c r="B70" s="3497" t="s">
        <v>3042</v>
      </c>
      <c r="C70" s="3497" t="s">
        <v>3043</v>
      </c>
      <c r="D70" s="3497">
        <v>3576</v>
      </c>
      <c r="E70" s="3497">
        <v>3933.6</v>
      </c>
      <c r="F70" s="3497" t="s">
        <v>3044</v>
      </c>
      <c r="G70" s="3497" t="s">
        <v>3045</v>
      </c>
      <c r="H70" s="3497" t="s">
        <v>3195</v>
      </c>
      <c r="I70" s="3497">
        <v>518</v>
      </c>
      <c r="J70" s="3497">
        <v>518</v>
      </c>
      <c r="K70" s="3497">
        <v>1316.85</v>
      </c>
      <c r="L70" s="3497">
        <v>0</v>
      </c>
      <c r="M70" s="3497" t="s">
        <v>3196</v>
      </c>
    </row>
    <row r="71" spans="1:13">
      <c r="A71" s="3497" t="s">
        <v>3202</v>
      </c>
      <c r="B71" s="3497" t="s">
        <v>3042</v>
      </c>
      <c r="C71" s="3497" t="s">
        <v>3043</v>
      </c>
      <c r="D71" s="3497">
        <v>45323</v>
      </c>
      <c r="E71" s="3497">
        <v>72516.800000000003</v>
      </c>
      <c r="F71" s="3497" t="s">
        <v>3060</v>
      </c>
      <c r="G71" s="3497" t="s">
        <v>3045</v>
      </c>
      <c r="H71" s="3497" t="s">
        <v>3195</v>
      </c>
      <c r="I71" s="3497">
        <v>6268</v>
      </c>
      <c r="J71" s="3497">
        <v>6268</v>
      </c>
      <c r="K71" s="3497">
        <v>864.35</v>
      </c>
      <c r="L71" s="3497">
        <v>0</v>
      </c>
      <c r="M71" s="3497" t="s">
        <v>3196</v>
      </c>
    </row>
    <row r="72" spans="1:13">
      <c r="A72" s="3497" t="s">
        <v>3194</v>
      </c>
      <c r="B72" s="3497" t="s">
        <v>3042</v>
      </c>
      <c r="C72" s="3497" t="s">
        <v>3043</v>
      </c>
      <c r="D72" s="3497">
        <v>1554</v>
      </c>
      <c r="E72" s="3497">
        <v>1631.7</v>
      </c>
      <c r="F72" s="3497" t="s">
        <v>3056</v>
      </c>
      <c r="G72" s="3497" t="s">
        <v>3045</v>
      </c>
      <c r="H72" s="3497" t="s">
        <v>3195</v>
      </c>
      <c r="I72" s="3497">
        <v>192</v>
      </c>
      <c r="J72" s="3497">
        <v>192</v>
      </c>
      <c r="K72" s="3497">
        <v>1176.69</v>
      </c>
      <c r="L72" s="3497">
        <v>0</v>
      </c>
      <c r="M72" s="3497" t="s">
        <v>3196</v>
      </c>
    </row>
    <row r="73" spans="1:13">
      <c r="A73" s="3497" t="s">
        <v>3204</v>
      </c>
      <c r="B73" s="3497" t="s">
        <v>3042</v>
      </c>
      <c r="C73" s="3497" t="s">
        <v>3043</v>
      </c>
      <c r="D73" s="3497">
        <v>69889</v>
      </c>
      <c r="E73" s="3497">
        <v>174722.5</v>
      </c>
      <c r="F73" s="3497" t="s">
        <v>3067</v>
      </c>
      <c r="G73" s="3497" t="s">
        <v>3045</v>
      </c>
      <c r="H73" s="3497" t="s">
        <v>3195</v>
      </c>
      <c r="I73" s="3497">
        <v>32707</v>
      </c>
      <c r="J73" s="3497">
        <v>96427</v>
      </c>
      <c r="K73" s="3497">
        <v>5518.86</v>
      </c>
      <c r="L73" s="3497">
        <v>194.82</v>
      </c>
      <c r="M73" s="3497" t="s">
        <v>3112</v>
      </c>
    </row>
    <row r="74" spans="1:13">
      <c r="A74" s="3497" t="s">
        <v>3199</v>
      </c>
      <c r="B74" s="3497" t="s">
        <v>3042</v>
      </c>
      <c r="C74" s="3497" t="s">
        <v>3043</v>
      </c>
      <c r="D74" s="3497">
        <v>34584</v>
      </c>
      <c r="E74" s="3497">
        <v>38042.400000000001</v>
      </c>
      <c r="F74" s="3497" t="s">
        <v>3044</v>
      </c>
      <c r="G74" s="3497" t="s">
        <v>3045</v>
      </c>
      <c r="H74" s="3497" t="s">
        <v>3195</v>
      </c>
      <c r="I74" s="3497">
        <v>5012</v>
      </c>
      <c r="J74" s="3497">
        <v>5012</v>
      </c>
      <c r="K74" s="3497">
        <v>1317.48</v>
      </c>
      <c r="L74" s="3497">
        <v>0</v>
      </c>
      <c r="M74" s="3497" t="s">
        <v>3196</v>
      </c>
    </row>
    <row r="75" spans="1:13">
      <c r="A75" s="3497" t="s">
        <v>3199</v>
      </c>
      <c r="B75" s="3497" t="s">
        <v>3042</v>
      </c>
      <c r="C75" s="3497" t="s">
        <v>3043</v>
      </c>
      <c r="D75" s="3497">
        <v>42458</v>
      </c>
      <c r="E75" s="3497">
        <v>46703.8</v>
      </c>
      <c r="F75" s="3497" t="s">
        <v>3044</v>
      </c>
      <c r="G75" s="3497" t="s">
        <v>3045</v>
      </c>
      <c r="H75" s="3497" t="s">
        <v>3195</v>
      </c>
      <c r="I75" s="3497">
        <v>6152</v>
      </c>
      <c r="J75" s="3497">
        <v>6152</v>
      </c>
      <c r="K75" s="3497">
        <v>1317.24</v>
      </c>
      <c r="L75" s="3497">
        <v>0</v>
      </c>
      <c r="M75" s="3497" t="s">
        <v>3196</v>
      </c>
    </row>
    <row r="76" spans="1:13">
      <c r="A76" s="3497" t="s">
        <v>3202</v>
      </c>
      <c r="B76" s="3497" t="s">
        <v>3042</v>
      </c>
      <c r="C76" s="3497" t="s">
        <v>3043</v>
      </c>
      <c r="D76" s="3497">
        <v>8293</v>
      </c>
      <c r="E76" s="3497">
        <v>13268.8</v>
      </c>
      <c r="F76" s="3497" t="s">
        <v>3060</v>
      </c>
      <c r="G76" s="3497" t="s">
        <v>3045</v>
      </c>
      <c r="H76" s="3497" t="s">
        <v>3195</v>
      </c>
      <c r="I76" s="3497">
        <v>1147</v>
      </c>
      <c r="J76" s="3497">
        <v>1147</v>
      </c>
      <c r="K76" s="3497">
        <v>864.42</v>
      </c>
      <c r="L76" s="3497">
        <v>0</v>
      </c>
      <c r="M76" s="3497" t="s">
        <v>3196</v>
      </c>
    </row>
    <row r="77" spans="1:13">
      <c r="A77" s="3497" t="s">
        <v>3198</v>
      </c>
      <c r="B77" s="3497" t="s">
        <v>3042</v>
      </c>
      <c r="C77" s="3497" t="s">
        <v>3043</v>
      </c>
      <c r="D77" s="3497">
        <v>52012</v>
      </c>
      <c r="E77" s="3497">
        <v>83219.199999999997</v>
      </c>
      <c r="F77" s="3497" t="s">
        <v>3060</v>
      </c>
      <c r="G77" s="3497" t="s">
        <v>3045</v>
      </c>
      <c r="H77" s="3497" t="s">
        <v>3195</v>
      </c>
      <c r="I77" s="3497">
        <v>8910</v>
      </c>
      <c r="J77" s="3497">
        <v>8910</v>
      </c>
      <c r="K77" s="3497">
        <v>1070.67</v>
      </c>
      <c r="L77" s="3497">
        <v>0</v>
      </c>
      <c r="M77" s="3497" t="s">
        <v>3196</v>
      </c>
    </row>
    <row r="78" spans="1:13">
      <c r="A78" s="3497" t="s">
        <v>3198</v>
      </c>
      <c r="B78" s="3497" t="s">
        <v>3042</v>
      </c>
      <c r="C78" s="3497" t="s">
        <v>3043</v>
      </c>
      <c r="D78" s="3497">
        <v>3674</v>
      </c>
      <c r="E78" s="3497">
        <v>5878.4</v>
      </c>
      <c r="F78" s="3497" t="s">
        <v>3060</v>
      </c>
      <c r="G78" s="3497" t="s">
        <v>3045</v>
      </c>
      <c r="H78" s="3497" t="s">
        <v>3195</v>
      </c>
      <c r="I78" s="3497">
        <v>466</v>
      </c>
      <c r="J78" s="3497">
        <v>466</v>
      </c>
      <c r="K78" s="3497">
        <v>792.73</v>
      </c>
      <c r="L78" s="3497">
        <v>0</v>
      </c>
      <c r="M78" s="3497" t="s">
        <v>3196</v>
      </c>
    </row>
    <row r="79" spans="1:13">
      <c r="A79" s="3497" t="s">
        <v>3194</v>
      </c>
      <c r="B79" s="3497" t="s">
        <v>3042</v>
      </c>
      <c r="C79" s="3497" t="s">
        <v>3043</v>
      </c>
      <c r="D79" s="3497">
        <v>16449</v>
      </c>
      <c r="E79" s="3497">
        <v>17271.45</v>
      </c>
      <c r="F79" s="3497" t="s">
        <v>3056</v>
      </c>
      <c r="G79" s="3497" t="s">
        <v>3045</v>
      </c>
      <c r="H79" s="3497" t="s">
        <v>3195</v>
      </c>
      <c r="I79" s="3497">
        <v>2028</v>
      </c>
      <c r="J79" s="3497">
        <v>2028</v>
      </c>
      <c r="K79" s="3497">
        <v>1174.19</v>
      </c>
      <c r="L79" s="3497">
        <v>0</v>
      </c>
      <c r="M79" s="3497" t="s">
        <v>3196</v>
      </c>
    </row>
    <row r="80" spans="1:13">
      <c r="A80" s="3497" t="s">
        <v>3205</v>
      </c>
      <c r="B80" s="3497" t="s">
        <v>3042</v>
      </c>
      <c r="C80" s="3497" t="s">
        <v>3043</v>
      </c>
      <c r="D80" s="3497">
        <v>48420</v>
      </c>
      <c r="E80" s="3497">
        <v>62946</v>
      </c>
      <c r="F80" s="3497" t="s">
        <v>3206</v>
      </c>
      <c r="G80" s="3497" t="s">
        <v>3045</v>
      </c>
      <c r="H80" s="3497" t="s">
        <v>3195</v>
      </c>
      <c r="I80" s="3497">
        <v>4721</v>
      </c>
      <c r="J80" s="3497">
        <v>25001</v>
      </c>
      <c r="K80" s="3497">
        <v>3971.82</v>
      </c>
      <c r="L80" s="3497">
        <v>429.57</v>
      </c>
      <c r="M80" s="3497" t="s">
        <v>3207</v>
      </c>
    </row>
    <row r="81" spans="1:13">
      <c r="A81" s="3497" t="s">
        <v>3208</v>
      </c>
      <c r="B81" s="3497" t="s">
        <v>3042</v>
      </c>
      <c r="C81" s="3497" t="s">
        <v>3043</v>
      </c>
      <c r="D81" s="3497">
        <v>1591</v>
      </c>
      <c r="E81" s="3497">
        <v>5409.4</v>
      </c>
      <c r="F81" s="3497" t="s">
        <v>3209</v>
      </c>
      <c r="G81" s="3497" t="s">
        <v>3045</v>
      </c>
      <c r="H81" s="3497" t="s">
        <v>3210</v>
      </c>
      <c r="I81" s="3497">
        <v>359</v>
      </c>
      <c r="J81" s="3497">
        <v>1359</v>
      </c>
      <c r="K81" s="3497">
        <v>2512.2800000000002</v>
      </c>
      <c r="L81" s="3497">
        <v>278.55</v>
      </c>
      <c r="M81" s="3497" t="s">
        <v>3211</v>
      </c>
    </row>
    <row r="82" spans="1:13">
      <c r="A82" s="3497" t="s">
        <v>3212</v>
      </c>
      <c r="B82" s="3497" t="s">
        <v>3042</v>
      </c>
      <c r="C82" s="3497" t="s">
        <v>3043</v>
      </c>
      <c r="D82" s="3497">
        <v>3196</v>
      </c>
      <c r="E82" s="3497">
        <v>7990</v>
      </c>
      <c r="F82" s="3497" t="s">
        <v>3067</v>
      </c>
      <c r="G82" s="3497" t="s">
        <v>3045</v>
      </c>
      <c r="H82" s="3497" t="s">
        <v>3210</v>
      </c>
      <c r="I82" s="3497">
        <v>479</v>
      </c>
      <c r="J82" s="3497">
        <v>483</v>
      </c>
      <c r="K82" s="3497">
        <v>604.5</v>
      </c>
      <c r="L82" s="3497">
        <v>0.84</v>
      </c>
      <c r="M82" s="3497" t="s">
        <v>3213</v>
      </c>
    </row>
    <row r="83" spans="1:13">
      <c r="A83" s="3497" t="s">
        <v>3214</v>
      </c>
      <c r="B83" s="3497" t="s">
        <v>3042</v>
      </c>
      <c r="C83" s="3497" t="s">
        <v>3043</v>
      </c>
      <c r="D83" s="3497">
        <v>65045</v>
      </c>
      <c r="E83" s="3497">
        <v>214648.5</v>
      </c>
      <c r="F83" s="3497" t="s">
        <v>3215</v>
      </c>
      <c r="G83" s="3497" t="s">
        <v>3045</v>
      </c>
      <c r="H83" s="3497" t="s">
        <v>3210</v>
      </c>
      <c r="I83" s="3497">
        <v>19514</v>
      </c>
      <c r="J83" s="3497">
        <v>82014</v>
      </c>
      <c r="K83" s="3497">
        <v>3820.84</v>
      </c>
      <c r="L83" s="3497">
        <v>320.27999999999997</v>
      </c>
      <c r="M83" s="3497" t="s">
        <v>3216</v>
      </c>
    </row>
    <row r="84" spans="1:13">
      <c r="A84" s="3497" t="s">
        <v>3208</v>
      </c>
      <c r="B84" s="3497" t="s">
        <v>3042</v>
      </c>
      <c r="C84" s="3497" t="s">
        <v>3043</v>
      </c>
      <c r="D84" s="3497">
        <v>113</v>
      </c>
      <c r="E84" s="3497">
        <v>384.2</v>
      </c>
      <c r="F84" s="3497" t="s">
        <v>3209</v>
      </c>
      <c r="G84" s="3497" t="s">
        <v>3045</v>
      </c>
      <c r="H84" s="3497" t="s">
        <v>3210</v>
      </c>
      <c r="I84" s="3497">
        <v>26</v>
      </c>
      <c r="J84" s="3497">
        <v>26</v>
      </c>
      <c r="K84" s="3497">
        <v>676.73</v>
      </c>
      <c r="L84" s="3497">
        <v>0</v>
      </c>
      <c r="M84" s="3497" t="s">
        <v>3211</v>
      </c>
    </row>
    <row r="85" spans="1:13">
      <c r="A85" s="3497" t="s">
        <v>3212</v>
      </c>
      <c r="B85" s="3497" t="s">
        <v>3042</v>
      </c>
      <c r="C85" s="3497" t="s">
        <v>3043</v>
      </c>
      <c r="D85" s="3497">
        <v>2090</v>
      </c>
      <c r="E85" s="3497">
        <v>5225</v>
      </c>
      <c r="F85" s="3497" t="s">
        <v>3067</v>
      </c>
      <c r="G85" s="3497" t="s">
        <v>3045</v>
      </c>
      <c r="H85" s="3497" t="s">
        <v>3210</v>
      </c>
      <c r="I85" s="3497">
        <v>314</v>
      </c>
      <c r="J85" s="3497">
        <v>318</v>
      </c>
      <c r="K85" s="3497">
        <v>608.61</v>
      </c>
      <c r="L85" s="3497">
        <v>1.27</v>
      </c>
      <c r="M85" s="3497" t="s">
        <v>3213</v>
      </c>
    </row>
    <row r="86" spans="1:13">
      <c r="A86" s="3497" t="s">
        <v>3217</v>
      </c>
      <c r="B86" s="3497" t="s">
        <v>3042</v>
      </c>
      <c r="C86" s="3497" t="s">
        <v>3043</v>
      </c>
      <c r="D86" s="3497">
        <v>24170</v>
      </c>
      <c r="E86" s="3497">
        <v>60425</v>
      </c>
      <c r="F86" s="3497" t="s">
        <v>3067</v>
      </c>
      <c r="G86" s="3497" t="s">
        <v>3045</v>
      </c>
      <c r="H86" s="3497" t="s">
        <v>3218</v>
      </c>
      <c r="I86" s="3497">
        <v>5802</v>
      </c>
      <c r="J86" s="3497">
        <v>5802</v>
      </c>
      <c r="K86" s="3497">
        <v>960.2</v>
      </c>
      <c r="L86" s="3497">
        <v>0</v>
      </c>
      <c r="M86" s="3497" t="s">
        <v>3219</v>
      </c>
    </row>
    <row r="87" spans="1:13">
      <c r="A87" s="3497" t="s">
        <v>3220</v>
      </c>
      <c r="B87" s="3497" t="s">
        <v>3042</v>
      </c>
      <c r="C87" s="3497" t="s">
        <v>3043</v>
      </c>
      <c r="D87" s="3497">
        <v>22513</v>
      </c>
      <c r="E87" s="3497">
        <v>56282.5</v>
      </c>
      <c r="F87" s="3497" t="s">
        <v>3067</v>
      </c>
      <c r="G87" s="3497" t="s">
        <v>3045</v>
      </c>
      <c r="H87" s="3497" t="s">
        <v>3218</v>
      </c>
      <c r="I87" s="3497">
        <v>5403</v>
      </c>
      <c r="J87" s="3497">
        <v>5403</v>
      </c>
      <c r="K87" s="3497">
        <v>959.98</v>
      </c>
      <c r="L87" s="3497">
        <v>0</v>
      </c>
      <c r="M87" s="3497" t="s">
        <v>3221</v>
      </c>
    </row>
    <row r="88" spans="1:13">
      <c r="A88" s="3497" t="s">
        <v>3222</v>
      </c>
      <c r="B88" s="3497" t="s">
        <v>3042</v>
      </c>
      <c r="C88" s="3497" t="s">
        <v>3043</v>
      </c>
      <c r="D88" s="3497">
        <v>26274</v>
      </c>
      <c r="E88" s="3497">
        <v>65685</v>
      </c>
      <c r="F88" s="3497" t="s">
        <v>3067</v>
      </c>
      <c r="G88" s="3497" t="s">
        <v>3045</v>
      </c>
      <c r="H88" s="3497" t="s">
        <v>3218</v>
      </c>
      <c r="I88" s="3497">
        <v>6306</v>
      </c>
      <c r="J88" s="3497">
        <v>6306</v>
      </c>
      <c r="K88" s="3497">
        <v>960.03</v>
      </c>
      <c r="L88" s="3497">
        <v>0</v>
      </c>
      <c r="M88" s="3497" t="s">
        <v>3223</v>
      </c>
    </row>
    <row r="89" spans="1:13">
      <c r="A89" s="3497" t="s">
        <v>3224</v>
      </c>
      <c r="B89" s="3497" t="s">
        <v>3042</v>
      </c>
      <c r="C89" s="3497" t="s">
        <v>3043</v>
      </c>
      <c r="D89" s="3497">
        <v>17170</v>
      </c>
      <c r="E89" s="3497">
        <v>42925</v>
      </c>
      <c r="F89" s="3497" t="s">
        <v>3067</v>
      </c>
      <c r="G89" s="3497" t="s">
        <v>3045</v>
      </c>
      <c r="H89" s="3497" t="s">
        <v>3218</v>
      </c>
      <c r="I89" s="3497">
        <v>4122</v>
      </c>
      <c r="J89" s="3497">
        <v>4122</v>
      </c>
      <c r="K89" s="3497">
        <v>960.27</v>
      </c>
      <c r="L89" s="3497">
        <v>0</v>
      </c>
      <c r="M89" s="3497" t="s">
        <v>3223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2040</v>
      </c>
      <c r="B1" s="3202"/>
      <c r="C1" s="3202"/>
      <c r="D1" s="3202"/>
      <c r="E1" s="3202"/>
      <c r="F1" s="3202"/>
      <c r="G1" s="3202"/>
      <c r="H1" s="3202"/>
      <c r="I1" s="3202"/>
      <c r="J1" s="3202"/>
      <c r="K1" s="3202"/>
      <c r="L1" s="3202"/>
      <c r="M1" s="3202"/>
      <c r="N1" s="3202"/>
      <c r="O1" s="3202"/>
      <c r="P1" s="3202"/>
      <c r="Q1" s="3202"/>
      <c r="R1" s="3202"/>
    </row>
    <row r="2" spans="1:18">
      <c r="A2" s="1807" t="s">
        <v>2042</v>
      </c>
      <c r="B2" s="1807"/>
      <c r="C2" s="1807"/>
      <c r="D2" s="1807"/>
      <c r="E2" s="1807"/>
      <c r="F2" s="1807"/>
      <c r="G2" s="1807"/>
      <c r="H2" s="1807"/>
      <c r="I2" s="1808"/>
      <c r="J2" s="1808"/>
      <c r="K2" s="1809" t="str">
        <f>"估价期日："&amp;TEXT(项目基本情况!D3,"yyyy年m月d日;;")</f>
        <v>估价期日：2018年8月22日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3" t="s">
        <v>2031</v>
      </c>
      <c r="B3" s="3203" t="s">
        <v>2733</v>
      </c>
      <c r="C3" s="3204" t="s">
        <v>2032</v>
      </c>
      <c r="D3" s="3203" t="s">
        <v>2737</v>
      </c>
      <c r="E3" s="3206" t="s">
        <v>2033</v>
      </c>
      <c r="F3" s="3206"/>
      <c r="G3" s="3206"/>
      <c r="H3" s="3206" t="s">
        <v>2034</v>
      </c>
      <c r="I3" s="3206"/>
      <c r="J3" s="3206"/>
      <c r="K3" s="3204" t="s">
        <v>2035</v>
      </c>
      <c r="L3" s="3204" t="s">
        <v>2036</v>
      </c>
      <c r="M3" s="3203" t="s">
        <v>2734</v>
      </c>
      <c r="N3" s="3205" t="str">
        <f>"（分摊）"&amp;项目基本情况!B16&amp;"国有建设用地使用权面积/㎡"</f>
        <v>（分摊）出让国有建设用地使用权面积/㎡</v>
      </c>
      <c r="O3" s="3203" t="s">
        <v>2065</v>
      </c>
      <c r="P3" s="3204" t="s">
        <v>2045</v>
      </c>
      <c r="Q3" s="3204" t="s">
        <v>2066</v>
      </c>
      <c r="R3" s="3204" t="s">
        <v>2037</v>
      </c>
    </row>
    <row r="4" spans="1:18" ht="36.75" customHeight="1">
      <c r="A4" s="3203"/>
      <c r="B4" s="3203"/>
      <c r="C4" s="3204"/>
      <c r="D4" s="3203"/>
      <c r="E4" s="2649" t="s">
        <v>2044</v>
      </c>
      <c r="F4" s="2649" t="s">
        <v>2746</v>
      </c>
      <c r="G4" s="2649" t="s">
        <v>2038</v>
      </c>
      <c r="H4" s="2649" t="s">
        <v>2039</v>
      </c>
      <c r="I4" s="2649" t="s">
        <v>2747</v>
      </c>
      <c r="J4" s="2649" t="s">
        <v>2038</v>
      </c>
      <c r="K4" s="3204"/>
      <c r="L4" s="3204"/>
      <c r="M4" s="3203"/>
      <c r="N4" s="3205"/>
      <c r="O4" s="3203"/>
      <c r="P4" s="3204"/>
      <c r="Q4" s="3204"/>
      <c r="R4" s="3204"/>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6614</v>
      </c>
      <c r="O5" s="1810">
        <f>项目基本情况!C21</f>
        <v>7937</v>
      </c>
      <c r="P5" s="1810">
        <f ca="1">结果表!E42</f>
        <v>2815</v>
      </c>
      <c r="Q5" s="1810">
        <f ca="1">结果表!D42</f>
        <v>2346</v>
      </c>
      <c r="R5" s="1811">
        <f ca="1">结果表!C42</f>
        <v>1862</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2" t="str">
        <f>结果表!O39</f>
        <v>——</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2"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1" t="s">
        <v>2067</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2068</v>
      </c>
      <c r="B5" s="3210"/>
      <c r="C5" s="3210"/>
      <c r="D5" s="3210"/>
    </row>
    <row r="6" spans="1:4">
      <c r="A6" s="3211" t="s">
        <v>2046</v>
      </c>
      <c r="B6" s="3211"/>
      <c r="C6" s="3211"/>
      <c r="D6" s="3211"/>
    </row>
    <row r="7" spans="1:4" ht="33" customHeight="1">
      <c r="A7" s="3211" t="s">
        <v>2577</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0" t="s">
        <v>2070</v>
      </c>
      <c r="B12" s="3210"/>
      <c r="C12" s="3210"/>
      <c r="D12" s="3210"/>
    </row>
    <row r="13" spans="1:4">
      <c r="A13" s="3214" t="s">
        <v>2748</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2704</v>
      </c>
      <c r="B17" s="3211"/>
      <c r="C17" s="3211"/>
      <c r="D17" s="3211"/>
    </row>
    <row r="18" spans="1:4">
      <c r="A18" s="3211" t="s">
        <v>2696</v>
      </c>
      <c r="B18" s="3211"/>
      <c r="C18" s="3211"/>
      <c r="D18" s="3211"/>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11" t="s">
        <v>2701</v>
      </c>
      <c r="B23" s="3211"/>
      <c r="C23" s="3211"/>
      <c r="D23" s="3211"/>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2" t="s">
        <v>53</v>
      </c>
      <c r="B15" s="3223" t="s">
        <v>845</v>
      </c>
      <c r="C15" s="3219"/>
    </row>
    <row r="16" spans="1:7" ht="14.25">
      <c r="A16" s="3222"/>
      <c r="B16" s="3220" t="s">
        <v>54</v>
      </c>
      <c r="C16" s="1171" t="s">
        <v>53</v>
      </c>
    </row>
    <row r="17" spans="1:3" ht="14.25">
      <c r="A17" s="3222"/>
      <c r="B17" s="3220"/>
      <c r="C17" s="1171" t="s">
        <v>55</v>
      </c>
    </row>
    <row r="18" spans="1:3" ht="14.25">
      <c r="A18" s="3222"/>
      <c r="B18" s="3220"/>
      <c r="C18" s="1171" t="s">
        <v>56</v>
      </c>
    </row>
    <row r="19" spans="1:3" ht="14.25">
      <c r="A19" s="3222"/>
      <c r="B19" s="3218" t="s">
        <v>57</v>
      </c>
      <c r="C19" s="3219"/>
    </row>
    <row r="20" spans="1:3" ht="14.25">
      <c r="A20" s="1172" t="s">
        <v>58</v>
      </c>
      <c r="B20" s="1173"/>
      <c r="C20" s="1174"/>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5" t="s">
        <v>836</v>
      </c>
    </row>
    <row r="25" spans="1:3" ht="14.25">
      <c r="A25" s="3221"/>
      <c r="B25" s="3225"/>
      <c r="C25" s="1175" t="s">
        <v>837</v>
      </c>
    </row>
    <row r="26" spans="1:3" ht="14.25">
      <c r="A26" s="3221"/>
      <c r="B26" s="3225"/>
      <c r="C26" s="1175" t="s">
        <v>838</v>
      </c>
    </row>
    <row r="27" spans="1:3" ht="14.25">
      <c r="A27" s="3221"/>
      <c r="B27" s="3225"/>
      <c r="C27" s="1175" t="s">
        <v>839</v>
      </c>
    </row>
    <row r="28" spans="1:3" ht="14.25">
      <c r="A28" s="3221"/>
      <c r="B28" s="3225"/>
      <c r="C28" s="1175" t="s">
        <v>840</v>
      </c>
    </row>
    <row r="29" spans="1:3" ht="14.25">
      <c r="A29" s="3221"/>
      <c r="B29" s="3225"/>
      <c r="C29" s="1175" t="s">
        <v>841</v>
      </c>
    </row>
    <row r="30" spans="1:3" ht="14.25">
      <c r="A30" s="3221"/>
      <c r="B30" s="3225"/>
      <c r="C30" s="1175" t="s">
        <v>842</v>
      </c>
    </row>
    <row r="31" spans="1:3" ht="14.25">
      <c r="A31" s="3221"/>
      <c r="B31" s="3225"/>
      <c r="C31" s="1175" t="s">
        <v>843</v>
      </c>
    </row>
    <row r="32" spans="1:3" ht="14.25">
      <c r="A32" s="3221"/>
      <c r="B32" s="3225"/>
      <c r="C32" s="1175" t="s">
        <v>1646</v>
      </c>
    </row>
    <row r="33" spans="1:3" ht="14.25">
      <c r="A33" s="3221"/>
      <c r="B33" s="3215" t="s">
        <v>1652</v>
      </c>
      <c r="C33" s="1175" t="s">
        <v>1647</v>
      </c>
    </row>
    <row r="34" spans="1:3" ht="14.25">
      <c r="A34" s="3221"/>
      <c r="B34" s="3216"/>
      <c r="C34" s="1180" t="s">
        <v>1648</v>
      </c>
    </row>
    <row r="35" spans="1:3" ht="14.25">
      <c r="A35" s="3221"/>
      <c r="B35" s="3216"/>
      <c r="C35" s="1181" t="s">
        <v>1649</v>
      </c>
    </row>
    <row r="36" spans="1:3" ht="14.25">
      <c r="A36" s="3221"/>
      <c r="B36" s="3216"/>
      <c r="C36" s="1181" t="s">
        <v>1650</v>
      </c>
    </row>
    <row r="37" spans="1:3" ht="14.25">
      <c r="A37" s="3221"/>
      <c r="B37" s="3217"/>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43370</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2983</v>
      </c>
      <c r="B12" s="2343">
        <v>1120110054</v>
      </c>
      <c r="C12" s="3006">
        <v>43937</v>
      </c>
      <c r="D12" s="2343" t="s">
        <v>2983</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6" t="s">
        <v>1928</v>
      </c>
      <c r="B25" s="3226"/>
      <c r="C25" s="3226"/>
      <c r="D25" s="3226"/>
      <c r="E25" s="3226"/>
      <c r="F25" s="3226"/>
      <c r="G25" s="3226"/>
    </row>
    <row r="26" spans="1:7" ht="20.25" customHeight="1">
      <c r="A26" s="3227" t="s">
        <v>1929</v>
      </c>
      <c r="B26" s="3227"/>
      <c r="C26" s="3227"/>
      <c r="D26" s="3227" t="s">
        <v>1930</v>
      </c>
      <c r="E26" s="3227"/>
      <c r="F26" s="3227"/>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2961</v>
      </c>
      <c r="C18" s="1553"/>
    </row>
    <row r="19" spans="1:3">
      <c r="A19" s="8" t="s">
        <v>120</v>
      </c>
      <c r="B19" s="3113" t="s">
        <v>2969</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28"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c r="D53" s="1767"/>
      <c r="E53" s="1767"/>
    </row>
    <row r="54" spans="1:5">
      <c r="A54" s="3228"/>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8"/>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8"/>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8"/>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2018-09-23T16:40:58Z</cp:lastPrinted>
  <dcterms:created xsi:type="dcterms:W3CDTF">2015-07-13T07:17:23Z</dcterms:created>
  <dcterms:modified xsi:type="dcterms:W3CDTF">2018-09-27T07:00:55Z</dcterms:modified>
</cp:coreProperties>
</file>