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酒店收入计算" sheetId="58" state="hidden" r:id="rId18"/>
    <sheet name="典型户型修正" sheetId="31" state="hidden" r:id="rId19"/>
    <sheet name="收益法" sheetId="15"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C33" i="21" l="1"/>
  <c r="I31" i="1" l="1"/>
  <c r="L30"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5" i="61"/>
  <c r="D6" i="61"/>
  <c r="F4" i="61"/>
  <c r="F6" i="61"/>
  <c r="D7" i="61"/>
  <c r="D3" i="61"/>
  <c r="F5" i="61"/>
  <c r="F3" i="61"/>
  <c r="D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C6" i="43" l="1"/>
  <c r="AC26" i="2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7"/>
  <c r="E2" i="33"/>
  <c r="C19" i="57"/>
  <c r="C20" i="57"/>
  <c r="E2" i="11"/>
  <c r="E2" i="34"/>
  <c r="E2" i="35"/>
  <c r="E2" i="36"/>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C20" i="9"/>
  <c r="C102" i="9" l="1"/>
  <c r="B2" i="15"/>
  <c r="B3" i="15"/>
  <c r="Q64" i="15"/>
  <c r="Q73" i="15" s="1"/>
  <c r="Q55" i="15"/>
  <c r="Q60" i="15" s="1"/>
  <c r="D22" i="57"/>
  <c r="D102" i="57"/>
  <c r="G19" i="57"/>
  <c r="C105" i="57" s="1"/>
  <c r="C101" i="9"/>
  <c r="H7" i="40"/>
  <c r="F7" i="40"/>
  <c r="J7" i="40"/>
  <c r="H7" i="39"/>
  <c r="F7" i="39"/>
  <c r="J7" i="39"/>
  <c r="D20" i="9"/>
  <c r="D19"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F134" i="9" l="1"/>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<sst xmlns="http://schemas.openxmlformats.org/spreadsheetml/2006/main" count="6917" uniqueCount="2934">
  <si>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</si>
  <si>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</si>
  <si>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</si>
  <si>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</si>
  <si>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</si>
  <si>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</si>
  <si>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</si>
  <si>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</si>
  <si>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</si>
  <si>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</si>
  <si>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</si>
  <si>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</si>
  <si>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</si>
  <si>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</si>
  <si>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</si>
  <si>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</si>
  <si>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</si>
  <si>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</si>
  <si>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</si>
  <si>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</si>
  <si>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</si>
  <si>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</si>
  <si>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</si>
  <si>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</si>
  <si>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</si>
  <si>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</si>
  <si>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</si>
  <si>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</si>
  <si>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</si>
  <si>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</si>
  <si>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</si>
  <si>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</si>
  <si>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</si>
  <si>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</si>
  <si>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</si>
  <si>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</si>
  <si>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</si>
  <si>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</si>
  <si>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</si>
  <si>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</si>
  <si>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</si>
  <si>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</si>
  <si>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</si>
  <si>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</si>
  <si>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</si>
  <si>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</si>
  <si>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</si>
  <si>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</si>
  <si>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</si>
  <si>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</si>
  <si>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</si>
  <si>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</si>
  <si>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</si>
  <si>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</si>
  <si>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</si>
  <si>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</si>
  <si>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</si>
  <si>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</si>
  <si>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</si>
  <si>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</si>
  <si>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</si>
  <si>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</si>
  <si>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</si>
  <si>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</si>
  <si>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</si>
  <si>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</si>
  <si>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</si>
  <si>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</si>
  <si>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</si>
  <si>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</si>
  <si>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</si>
  <si>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</si>
  <si>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</si>
  <si>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</si>
  <si>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</si>
  <si>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</si>
  <si>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</si>
  <si>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</si>
  <si>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</si>
  <si>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</si>
  <si>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</si>
  <si>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</si>
  <si>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</si>
  <si>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</si>
  <si>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</si>
  <si>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</si>
  <si>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</si>
  <si>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</si>
  <si>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</si>
  <si>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</si>
  <si>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</si>
  <si>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</si>
  <si>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</si>
  <si>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</si>
  <si>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</si>
  <si>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</si>
  <si>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</si>
  <si>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</si>
  <si>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</si>
  <si>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</si>
  <si>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</si>
  <si>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</si>
  <si>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</si>
  <si>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</si>
  <si>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</si>
  <si>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</si>
  <si>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</si>
  <si>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</si>
  <si>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</si>
  <si>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</si>
  <si>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</si>
  <si>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</si>
  <si>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</si>
  <si>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</si>
  <si>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</si>
  <si>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</si>
  <si>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</si>
  <si>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</si>
  <si>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</si>
  <si>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</si>
  <si>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</si>
  <si>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</si>
  <si>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</si>
  <si>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</si>
  <si>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</si>
  <si>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</si>
  <si>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</si>
  <si>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</si>
  <si>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</si>
  <si>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</si>
  <si>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</si>
  <si>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</si>
  <si>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</si>
  <si>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</si>
  <si>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</si>
  <si>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</si>
  <si>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</si>
  <si>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</si>
  <si>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</si>
  <si>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</si>
  <si>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</si>
  <si>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</si>
  <si>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</si>
  <si>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</si>
  <si>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</si>
  <si>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</si>
  <si>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</si>
  <si>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</si>
  <si>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</si>
  <si>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</si>
  <si>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</si>
  <si>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</si>
  <si>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</si>
  <si>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</si>
  <si>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</si>
  <si>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</si>
  <si>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</si>
  <si>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</si>
  <si>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</si>
  <si>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</si>
  <si>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</si>
  <si>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</si>
  <si>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</si>
  <si>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</si>
  <si>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</si>
  <si>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</si>
  <si>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</si>
  <si>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</si>
  <si>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</si>
  <si>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</si>
  <si>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</si>
  <si>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</si>
  <si>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</si>
  <si>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</si>
  <si>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</si>
  <si>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</si>
  <si>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</si>
  <si>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</si>
  <si>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</si>
  <si>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</si>
  <si>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</si>
  <si>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</si>
  <si>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</si>
  <si>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</si>
  <si>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</si>
  <si>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</si>
  <si>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</si>
  <si>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</si>
  <si>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</si>
  <si>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</si>
  <si>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</si>
  <si>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</si>
  <si>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</si>
  <si>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</si>
  <si>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</si>
  <si>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</si>
  <si>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</si>
  <si>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</si>
  <si>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</si>
  <si>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</si>
  <si>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</si>
  <si>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</si>
  <si>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</si>
  <si>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</si>
  <si>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</si>
  <si>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</si>
  <si>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</si>
  <si>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</si>
  <si>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</si>
  <si>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</si>
  <si>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</si>
  <si>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</si>
  <si>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</si>
  <si>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</si>
  <si>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</si>
  <si>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</si>
  <si>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</si>
  <si>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</si>
  <si>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</si>
  <si>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</si>
  <si>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</si>
  <si>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</si>
  <si>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</si>
  <si>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</si>
  <si>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</si>
  <si>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</si>
  <si>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</si>
  <si>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</si>
  <si>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</si>
  <si>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</si>
  <si>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</si>
  <si>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</si>
  <si>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</si>
  <si>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</si>
  <si>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</si>
  <si>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</si>
  <si>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</si>
  <si>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</si>
  <si>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</si>
  <si>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</si>
  <si>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</si>
  <si>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</si>
  <si>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</si>
  <si>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</si>
  <si>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</si>
  <si>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</si>
  <si>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</si>
  <si>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</si>
  <si>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</si>
  <si>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</si>
  <si>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</si>
  <si>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</si>
  <si>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</si>
  <si>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</si>
  <si>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</si>
  <si>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</si>
  <si>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</si>
  <si>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</si>
  <si>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</si>
  <si>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</si>
  <si>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</si>
  <si>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</si>
  <si>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</si>
  <si>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</si>
  <si>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</si>
  <si>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</si>
  <si>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</si>
  <si>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</si>
  <si>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</si>
  <si>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</si>
  <si>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</si>
  <si>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</si>
  <si>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</si>
  <si>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</si>
  <si>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</si>
  <si>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</si>
  <si>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</si>
  <si>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</si>
  <si>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</si>
  <si>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</si>
  <si>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</si>
  <si>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</si>
  <si>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</si>
  <si>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</si>
  <si>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</si>
  <si>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</si>
  <si>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</si>
  <si>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</si>
  <si>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</si>
  <si>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</si>
  <si>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</si>
  <si>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</si>
  <si>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</si>
  <si>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</si>
  <si>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</si>
  <si>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</si>
  <si>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</si>
  <si>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</si>
  <si>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</si>
  <si>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</si>
  <si>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</si>
  <si>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</si>
  <si>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</si>
  <si>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</si>
  <si>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</si>
  <si>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</si>
  <si>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</si>
  <si>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</si>
  <si>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</si>
  <si>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</si>
  <si>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</si>
  <si>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</si>
  <si>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</si>
  <si>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</si>
  <si>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</si>
  <si>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</si>
  <si>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</si>
  <si>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</si>
  <si>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</si>
  <si>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</si>
  <si>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</si>
  <si>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</si>
  <si>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</si>
  <si>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</si>
  <si>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</si>
  <si>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</si>
  <si>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</si>
  <si>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</si>
  <si>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</si>
  <si>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</si>
  <si>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</si>
  <si>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</si>
  <si>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</si>
  <si>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</si>
  <si>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</si>
  <si>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</si>
  <si>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</si>
  <si>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</si>
  <si>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</si>
  <si>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</si>
  <si>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</si>
  <si>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</si>
  <si>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</si>
  <si>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</si>
  <si>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</si>
  <si>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</si>
  <si>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</si>
  <si>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</si>
  <si>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</si>
  <si>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</si>
  <si>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</si>
  <si>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</si>
  <si>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</si>
  <si>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</si>
  <si>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</si>
  <si>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</si>
  <si>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</si>
  <si>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</si>
  <si>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</si>
  <si>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</si>
  <si>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</si>
  <si>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</si>
  <si>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</si>
  <si>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</si>
  <si>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</si>
  <si>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</si>
  <si>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</si>
  <si>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</si>
  <si>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</si>
  <si>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</si>
  <si>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</si>
  <si>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</si>
  <si>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</si>
  <si>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</si>
  <si>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</si>
  <si>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</si>
  <si>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</si>
  <si>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</si>
  <si>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</si>
  <si>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</si>
  <si>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</si>
  <si>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</si>
  <si>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</si>
  <si>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</si>
  <si>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</si>
  <si>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</si>
  <si>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</si>
  <si>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</si>
  <si>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</si>
  <si>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</si>
  <si>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</si>
  <si>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</si>
  <si>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</si>
  <si>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</si>
  <si>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</si>
  <si>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</si>
  <si>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</si>
  <si>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</si>
  <si>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</si>
  <si>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</si>
  <si>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</si>
  <si>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</si>
  <si>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</si>
  <si>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</si>
  <si>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</si>
  <si>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</si>
  <si>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</si>
  <si>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</si>
  <si>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</si>
  <si>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</si>
  <si>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</si>
  <si>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</si>
  <si>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</si>
  <si>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</si>
  <si>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</si>
  <si>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</si>
  <si>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</si>
  <si>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</si>
  <si>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</si>
  <si>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</si>
  <si>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</si>
  <si>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</si>
  <si>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</si>
  <si>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</si>
  <si>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</si>
  <si>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</si>
  <si>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</si>
  <si>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</si>
  <si>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</si>
  <si>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</si>
  <si>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</si>
  <si>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</si>
  <si>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</si>
  <si>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</si>
  <si>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</si>
  <si>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</si>
  <si>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</si>
  <si>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</si>
  <si>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</si>
  <si>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</si>
  <si>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</si>
  <si>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</si>
  <si>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</si>
  <si>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</si>
  <si>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</si>
  <si>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</si>
  <si>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</si>
  <si>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</si>
  <si>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</si>
  <si>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</si>
  <si>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</si>
  <si>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</si>
  <si>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</si>
  <si>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</si>
  <si>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</si>
  <si>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</si>
  <si>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</si>
  <si>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</si>
  <si>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</si>
  <si>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</si>
  <si>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</si>
  <si>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</si>
  <si>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</si>
  <si>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</si>
  <si>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</si>
  <si>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</si>
  <si>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</si>
  <si>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</si>
  <si>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</si>
  <si>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</si>
  <si>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</si>
  <si>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</si>
  <si>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</si>
  <si>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</si>
  <si>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</si>
  <si>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</si>
  <si>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</si>
  <si>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</si>
  <si>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</si>
  <si>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</si>
  <si>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</si>
  <si>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</si>
  <si>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</si>
  <si>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</si>
  <si>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</si>
  <si>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</si>
  <si>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</si>
  <si>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</si>
  <si>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</si>
  <si>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</si>
  <si>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</si>
  <si>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</si>
  <si>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</si>
  <si>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</si>
  <si>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</si>
  <si>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</si>
  <si>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</si>
  <si>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</si>
  <si>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</si>
  <si>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</si>
  <si>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</si>
  <si>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</si>
  <si>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</si>
  <si>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</si>
  <si>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</si>
  <si>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</si>
  <si>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</si>
  <si>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</si>
  <si>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</si>
  <si>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</si>
  <si>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</si>
  <si>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</si>
  <si>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</si>
  <si>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</si>
  <si>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</si>
  <si>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</si>
  <si>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</si>
  <si>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</si>
  <si>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</si>
  <si>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</si>
  <si>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</si>
  <si>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</si>
  <si>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</si>
  <si>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</si>
  <si>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</si>
  <si>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</si>
  <si>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</si>
  <si>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</si>
  <si>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</si>
  <si>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</si>
  <si>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</si>
  <si>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</si>
  <si>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</si>
  <si>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</si>
  <si>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</si>
  <si>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</si>
  <si>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</si>
  <si>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</si>
  <si>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</si>
  <si>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</si>
  <si>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</si>
  <si>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</si>
  <si>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</si>
  <si>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</si>
  <si>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</si>
  <si>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</si>
  <si>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</si>
  <si>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</si>
  <si>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</si>
  <si>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</si>
  <si>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</si>
  <si>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</si>
  <si>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</si>
  <si>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</si>
  <si>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</si>
  <si>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</si>
  <si>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</si>
  <si>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</si>
  <si>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</si>
  <si>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</si>
  <si>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</si>
  <si>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</si>
  <si>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</si>
  <si>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</si>
  <si>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</si>
  <si>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</si>
  <si>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</si>
  <si>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</si>
  <si>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</si>
  <si>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</si>
  <si>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</si>
  <si>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</si>
  <si>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</si>
  <si>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</si>
  <si>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</si>
  <si>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</si>
  <si>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</si>
  <si>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</si>
  <si>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</si>
  <si>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</si>
  <si>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</si>
  <si>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</si>
  <si>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</si>
  <si>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</si>
  <si>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</si>
  <si>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</si>
  <si>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</si>
  <si>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</si>
  <si>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</si>
  <si>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</si>
  <si>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</si>
  <si>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</si>
  <si>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</si>
  <si>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</si>
  <si>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</si>
  <si>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</si>
  <si>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</si>
  <si>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</si>
  <si>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</si>
  <si>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</si>
  <si>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</si>
  <si>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</si>
  <si>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</si>
  <si>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</si>
  <si>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</si>
  <si>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</si>
  <si>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</si>
  <si>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</si>
  <si>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</si>
  <si>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</si>
  <si>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</si>
  <si>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</si>
  <si>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</si>
  <si>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</si>
  <si>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</si>
  <si>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</si>
  <si>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</si>
  <si>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</si>
  <si>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</si>
  <si>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</si>
  <si>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</si>
  <si>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</si>
  <si>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</si>
  <si>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</si>
  <si>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</si>
  <si>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</si>
  <si>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</si>
  <si>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</si>
  <si>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</si>
  <si>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</si>
  <si>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</si>
  <si>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</si>
  <si>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</si>
  <si>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</si>
  <si>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</si>
  <si>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</si>
  <si>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</si>
  <si>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</si>
  <si>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</si>
  <si>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</si>
  <si>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</si>
  <si>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</si>
  <si>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</si>
  <si>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</si>
  <si>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</si>
  <si>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</si>
  <si>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</si>
  <si>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</si>
  <si>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</si>
  <si>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</si>
  <si>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</si>
  <si>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</si>
  <si>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</si>
  <si>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</si>
  <si>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</si>
  <si>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</si>
  <si>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</si>
  <si>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</si>
  <si>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</si>
  <si>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</si>
  <si>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</si>
  <si>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</si>
  <si>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</si>
  <si>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</si>
  <si>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</si>
  <si>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</si>
  <si>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</si>
  <si>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</si>
  <si>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</si>
  <si>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</si>
  <si>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</si>
  <si>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</si>
  <si>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</si>
  <si>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</si>
  <si>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</si>
  <si>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</si>
  <si>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</si>
  <si>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</si>
  <si>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</si>
  <si>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</si>
  <si>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</si>
  <si>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</si>
  <si>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</si>
  <si>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</si>
  <si>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</si>
  <si>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</si>
  <si>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</si>
  <si>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</si>
  <si>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</si>
  <si>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</si>
  <si>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</si>
  <si>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</si>
  <si>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</si>
  <si>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</si>
  <si>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</si>
  <si>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</si>
  <si>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</si>
  <si>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</si>
  <si>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</si>
  <si>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</si>
  <si>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</si>
  <si>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</si>
  <si>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</si>
  <si>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</si>
  <si>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</si>
  <si>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</si>
  <si>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</si>
  <si>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</si>
  <si>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</si>
  <si>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</si>
  <si>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</si>
  <si>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</si>
  <si>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</si>
  <si>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</si>
  <si>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</si>
  <si>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</si>
  <si>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</si>
  <si>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</si>
  <si>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</si>
  <si>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</si>
  <si>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</si>
  <si>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</si>
  <si>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</si>
  <si>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</si>
  <si>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</si>
  <si>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</si>
  <si>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</si>
  <si>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</si>
  <si>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</si>
  <si>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</si>
  <si>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</si>
  <si>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</si>
  <si>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</si>
  <si>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</si>
  <si>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</si>
  <si>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</si>
  <si>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</si>
  <si>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</si>
  <si>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</si>
  <si>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</si>
  <si>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</si>
  <si>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</si>
  <si>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</si>
  <si>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</si>
  <si>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</si>
  <si>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</si>
  <si>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</si>
  <si>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</si>
  <si>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</si>
  <si>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</si>
  <si>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</si>
  <si>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</si>
  <si>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</si>
  <si>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</si>
  <si>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</si>
  <si>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</si>
  <si>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</si>
  <si>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</si>
  <si>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</si>
  <si>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</si>
  <si>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</si>
  <si>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</si>
  <si>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</si>
  <si>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</si>
  <si>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</si>
  <si>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</si>
  <si>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</si>
  <si>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</si>
  <si>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</si>
  <si>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</si>
  <si>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</si>
  <si>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</si>
  <si>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</si>
  <si>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</si>
  <si>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</si>
  <si>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</si>
  <si>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</si>
  <si>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</si>
  <si>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</si>
  <si>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</si>
  <si>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</si>
  <si>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</si>
  <si>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</si>
  <si>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</si>
  <si>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</si>
  <si>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</si>
  <si>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</si>
  <si>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</si>
  <si>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</si>
  <si>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</si>
  <si>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</si>
  <si>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</si>
  <si>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</si>
  <si>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</si>
  <si>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</si>
  <si>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</si>
  <si>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</si>
  <si>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</si>
  <si>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</si>
  <si>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</si>
  <si>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</si>
  <si>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</si>
  <si>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</si>
  <si>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</si>
  <si>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</si>
  <si>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</si>
  <si>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</si>
  <si>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</si>
  <si>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</si>
  <si>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</si>
  <si>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</si>
  <si>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</si>
  <si>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</si>
  <si>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</si>
  <si>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</si>
  <si>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</si>
  <si>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</si>
  <si>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</si>
  <si>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</si>
  <si>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</si>
  <si>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</si>
  <si>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</si>
  <si>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</si>
  <si>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</si>
  <si>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</si>
  <si>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</si>
  <si>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</si>
  <si>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</si>
  <si>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</si>
  <si>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</si>
  <si>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</si>
  <si>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</si>
  <si>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</si>
  <si>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</si>
  <si>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</si>
  <si>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</si>
  <si>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</si>
  <si>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</si>
  <si>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</si>
  <si>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</si>
  <si>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</si>
  <si>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</si>
  <si>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</si>
  <si>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</si>
  <si>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</si>
  <si>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</si>
  <si>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</si>
  <si>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</si>
  <si>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</si>
  <si>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</si>
  <si>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</si>
  <si>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</si>
  <si>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</si>
  <si>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</si>
  <si>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</si>
  <si>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</si>
  <si>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</si>
  <si>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</si>
  <si>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</si>
  <si>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</si>
  <si>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</si>
  <si>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</si>
  <si>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</si>
  <si>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</si>
  <si>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</si>
  <si>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</si>
  <si>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</si>
  <si>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</si>
  <si>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</si>
  <si>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</si>
  <si>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</si>
  <si>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</si>
  <si>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</si>
  <si>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</si>
  <si>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</si>
  <si>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</si>
  <si>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</si>
  <si>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</si>
  <si>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</si>
  <si>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</si>
  <si>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</si>
  <si>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</si>
  <si>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</si>
  <si>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</si>
  <si>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</si>
  <si>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</si>
  <si>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</si>
  <si>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</si>
  <si>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</si>
  <si>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</si>
  <si>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</si>
  <si>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</si>
  <si>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</si>
  <si>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</si>
  <si>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</si>
  <si>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</si>
  <si>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</si>
  <si>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</si>
  <si>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</si>
  <si>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</si>
  <si>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</si>
  <si>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</si>
  <si>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</si>
  <si>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</si>
  <si>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</si>
  <si>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</si>
  <si>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</si>
  <si>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</si>
  <si>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</si>
  <si>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</si>
  <si>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</si>
  <si>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</si>
  <si>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</si>
  <si>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</si>
  <si>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</si>
  <si>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</si>
  <si>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</si>
  <si>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</si>
  <si>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</si>
  <si>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</si>
  <si>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</si>
  <si>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</si>
  <si>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</si>
  <si>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</si>
  <si>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</si>
  <si>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</si>
  <si>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</si>
  <si>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</si>
  <si>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</si>
  <si>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</si>
  <si>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</si>
  <si>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</si>
  <si>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</si>
  <si>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</si>
  <si>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</si>
  <si>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</si>
  <si>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</si>
  <si>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</si>
  <si>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</si>
  <si>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</si>
  <si>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</si>
  <si>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</si>
  <si>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</si>
  <si>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</si>
  <si>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</si>
  <si>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</si>
  <si>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</si>
  <si>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</si>
  <si>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</si>
  <si>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</si>
  <si>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</si>
  <si>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</si>
  <si>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</si>
  <si>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</si>
  <si>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</si>
  <si>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</si>
  <si>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</si>
  <si>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</si>
  <si>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</si>
  <si>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</si>
  <si>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</si>
  <si>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</si>
  <si>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</si>
  <si>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</si>
  <si>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</si>
  <si>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</si>
  <si>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</si>
  <si>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</si>
  <si>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</si>
  <si>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</si>
  <si>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</si>
  <si>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</si>
  <si>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</si>
  <si>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</si>
  <si>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</si>
  <si>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</si>
  <si>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</si>
  <si>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</si>
  <si>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</si>
  <si>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</si>
  <si>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</si>
  <si>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</si>
  <si>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</si>
  <si>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</si>
  <si>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</si>
  <si>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</si>
  <si>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</si>
  <si>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</si>
  <si>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</si>
  <si>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</si>
  <si>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</si>
  <si>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</si>
  <si>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</si>
  <si>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</si>
  <si>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</si>
  <si>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</si>
  <si>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</si>
  <si>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</si>
  <si>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</si>
  <si>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</si>
  <si>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</si>
  <si>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</si>
  <si>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</si>
  <si>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</si>
  <si>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</si>
  <si>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</si>
  <si>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</si>
  <si>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</si>
  <si>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</si>
  <si>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</si>
  <si>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</si>
  <si>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</si>
  <si>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</si>
  <si>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</si>
  <si>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</si>
  <si>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</si>
  <si>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</si>
  <si>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</si>
  <si>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</si>
  <si>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</si>
  <si>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</si>
  <si>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</si>
  <si>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</si>
  <si>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</si>
  <si>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</si>
  <si>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</si>
  <si>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</si>
  <si>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</si>
  <si>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</si>
  <si>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</si>
  <si>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</si>
  <si>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</si>
  <si>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</si>
  <si>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</si>
  <si>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</si>
  <si>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</si>
  <si>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</si>
  <si>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</si>
  <si>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</si>
  <si>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</si>
  <si>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</si>
  <si>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</si>
  <si>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</si>
  <si>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</si>
  <si>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</si>
  <si>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</si>
  <si>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</si>
  <si>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</si>
  <si>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</si>
  <si>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</si>
  <si>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</si>
  <si>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</si>
  <si>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</si>
  <si>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</si>
  <si>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</si>
  <si>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</si>
  <si>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</si>
  <si>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</si>
  <si>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</si>
  <si>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</si>
  <si>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</si>
  <si>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</si>
  <si>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</si>
  <si>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</si>
  <si>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</si>
  <si>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</si>
  <si>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</si>
  <si>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</si>
  <si>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</si>
  <si>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</si>
  <si>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</si>
  <si>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</si>
  <si>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</si>
  <si>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</si>
  <si>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</si>
  <si>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</si>
  <si>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</si>
  <si>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</si>
  <si>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</si>
  <si>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</si>
  <si>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</si>
  <si>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</si>
  <si>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</si>
  <si>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</si>
  <si>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</si>
  <si>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</si>
  <si>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</si>
  <si>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</si>
  <si>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</si>
  <si>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</si>
  <si>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</si>
  <si>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</si>
  <si>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</si>
  <si>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</si>
  <si>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</si>
  <si>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</si>
  <si>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</si>
  <si>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</si>
  <si>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</si>
  <si>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</si>
  <si>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</si>
  <si>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</si>
  <si>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</si>
  <si>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</si>
  <si>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</si>
  <si>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</si>
  <si>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</si>
  <si>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</si>
  <si>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</si>
  <si>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</si>
  <si>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</si>
  <si>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</si>
  <si>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</si>
  <si>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</si>
  <si>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</si>
  <si>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</si>
  <si>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</si>
  <si>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</si>
  <si>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</si>
  <si>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</si>
  <si>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</si>
  <si>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</si>
  <si>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</si>
  <si>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</si>
  <si>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</si>
  <si>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</si>
  <si>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</si>
  <si>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</si>
  <si>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</si>
  <si>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</si>
  <si>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</si>
  <si>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</si>
  <si>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</si>
  <si>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</si>
  <si>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</si>
  <si>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</si>
  <si>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</si>
  <si>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</si>
  <si>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</si>
  <si>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</si>
  <si>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</si>
  <si>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</si>
  <si>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</si>
  <si>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</si>
  <si>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</si>
  <si>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</si>
  <si>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</si>
  <si>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</si>
  <si>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</si>
  <si>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</si>
  <si>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</si>
  <si>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</si>
  <si>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</si>
  <si>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</si>
  <si>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</si>
  <si>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</si>
  <si>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</si>
  <si>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</si>
  <si>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</si>
  <si>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</si>
  <si>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</si>
  <si>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</si>
  <si>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</si>
  <si>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</si>
  <si>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</si>
  <si>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</si>
  <si>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</si>
  <si>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</si>
  <si>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</si>
  <si>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</si>
  <si>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</si>
  <si>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</si>
  <si>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</si>
  <si>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</si>
  <si>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</si>
  <si>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</si>
  <si>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</si>
  <si>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</si>
  <si>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</si>
  <si>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</si>
  <si>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</si>
  <si>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</si>
  <si>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</si>
  <si>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</si>
  <si>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</si>
  <si>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</si>
  <si>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</si>
  <si>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</si>
  <si>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</si>
  <si>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</si>
  <si>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</si>
  <si>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</si>
  <si>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</si>
  <si>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</si>
  <si>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</si>
  <si>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</si>
  <si>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</si>
  <si>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</si>
  <si>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</si>
  <si>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</si>
  <si>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</si>
  <si>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</si>
  <si>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</si>
  <si>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</si>
  <si>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</si>
  <si>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</si>
  <si>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</si>
  <si>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</si>
  <si>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</si>
  <si>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</si>
  <si>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</si>
  <si>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</si>
  <si>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</si>
  <si>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</si>
  <si>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</si>
  <si>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</si>
  <si>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</si>
  <si>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</si>
  <si>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</si>
  <si>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</si>
  <si>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</si>
  <si>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</si>
  <si>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</si>
  <si>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</si>
  <si>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</si>
  <si>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</si>
  <si>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</si>
  <si>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</si>
  <si>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</si>
  <si>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</si>
  <si>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</si>
  <si>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</si>
  <si>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</si>
  <si>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</si>
  <si>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</si>
  <si>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</si>
  <si>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</si>
  <si>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</si>
  <si>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</si>
  <si>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</si>
  <si>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</si>
  <si>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</si>
  <si>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</si>
  <si>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</si>
  <si>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</si>
  <si>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</si>
  <si>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</si>
  <si>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</si>
  <si>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</si>
  <si>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</si>
  <si>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</si>
  <si>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</si>
  <si>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</si>
  <si>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</si>
  <si>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</si>
  <si>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</si>
  <si>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</si>
  <si>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</si>
  <si>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</si>
  <si>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</si>
  <si>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</si>
  <si>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</si>
  <si>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</si>
  <si>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</si>
  <si>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</si>
  <si>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</si>
  <si>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</si>
  <si>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</si>
  <si>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</si>
  <si>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</si>
  <si>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</si>
  <si>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</si>
  <si>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</si>
  <si>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</si>
  <si>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</si>
  <si>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</si>
  <si>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</si>
  <si>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</si>
  <si>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</si>
  <si>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</si>
  <si>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</si>
  <si>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</si>
  <si>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</si>
  <si>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</si>
  <si>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</si>
  <si>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</si>
  <si>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</si>
  <si>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</si>
  <si>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</si>
  <si>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</si>
  <si>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</si>
  <si>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</si>
  <si>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</si>
  <si>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</si>
  <si>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</si>
  <si>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</si>
  <si>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</si>
  <si>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</si>
  <si>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</si>
  <si>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</si>
  <si>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</si>
  <si>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</si>
  <si>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</si>
  <si>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</si>
  <si>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</si>
  <si>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</si>
  <si>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</si>
  <si>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</si>
  <si>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</si>
  <si>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</si>
  <si>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</si>
  <si>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</si>
  <si>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</si>
  <si>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</si>
  <si>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</si>
  <si>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</si>
  <si>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</si>
  <si>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</si>
  <si>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</si>
  <si>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</si>
  <si>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</si>
  <si>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</si>
  <si>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</si>
  <si>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</si>
  <si>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</si>
  <si>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</si>
  <si>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</si>
  <si>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</si>
  <si>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</si>
  <si>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</si>
  <si>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</si>
  <si>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</si>
  <si>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</si>
  <si>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</si>
  <si>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</si>
  <si>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</si>
  <si>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</si>
  <si>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</si>
  <si>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</si>
  <si>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</si>
  <si>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</si>
  <si>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</si>
  <si>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</si>
  <si>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</si>
  <si>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</si>
  <si>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</si>
  <si>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</si>
  <si>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</si>
  <si>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</si>
  <si>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</si>
  <si>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</si>
  <si>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</si>
  <si>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</si>
  <si>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</si>
  <si>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</si>
  <si>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</si>
  <si>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</si>
  <si>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</si>
  <si>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</si>
  <si>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</si>
  <si>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</si>
  <si>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</si>
  <si>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</si>
  <si>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</si>
  <si>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</si>
  <si>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</si>
  <si>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</si>
  <si>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</si>
  <si>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</si>
  <si>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</si>
  <si>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</si>
  <si>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</si>
  <si>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</si>
  <si>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</si>
  <si>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</si>
  <si>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</si>
  <si>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</si>
  <si>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</si>
  <si>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</si>
  <si>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</si>
  <si>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</si>
  <si>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</si>
  <si>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</si>
  <si>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</si>
  <si>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</si>
  <si>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</si>
  <si>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</si>
  <si>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</si>
  <si>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</si>
  <si>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</si>
  <si>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</si>
  <si>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</si>
  <si>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</si>
  <si>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</si>
  <si>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</si>
  <si>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</si>
  <si>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</si>
  <si>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</si>
  <si>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</si>
  <si>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</si>
  <si>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</si>
  <si>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</si>
  <si>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</si>
  <si>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</si>
  <si>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</si>
  <si>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</si>
  <si>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</si>
  <si>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</si>
  <si>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</si>
  <si>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</si>
  <si>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</si>
  <si>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</si>
  <si>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</si>
  <si>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</si>
  <si>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</si>
  <si>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</si>
  <si>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</si>
  <si>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</si>
  <si>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</si>
  <si>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</si>
  <si>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</si>
  <si>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</si>
  <si>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</si>
  <si>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</si>
  <si>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</si>
  <si>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</si>
  <si>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</si>
  <si>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</si>
  <si>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</si>
  <si>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</si>
  <si>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</si>
  <si>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</si>
  <si>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</si>
  <si>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</si>
  <si>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</si>
  <si>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</si>
  <si>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</si>
  <si>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</si>
  <si>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</si>
  <si>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</si>
  <si>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</si>
  <si>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</si>
  <si>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</si>
  <si>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</si>
  <si>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</si>
  <si>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</si>
  <si>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</si>
  <si>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</si>
  <si>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</si>
  <si>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</si>
  <si>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</si>
  <si>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</si>
  <si>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</si>
  <si>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</si>
  <si>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</si>
  <si>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</si>
  <si>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</si>
  <si>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</si>
  <si>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</si>
  <si>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</si>
  <si>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</si>
  <si>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</si>
  <si>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</si>
  <si>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</si>
  <si>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</si>
  <si>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</si>
  <si>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</si>
  <si>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</si>
  <si>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</si>
  <si>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</si>
  <si>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</si>
  <si>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</si>
  <si>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</si>
  <si>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</si>
  <si>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</si>
  <si>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</si>
  <si>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</si>
  <si>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</si>
  <si>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</si>
  <si>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</si>
  <si>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</si>
  <si>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</si>
  <si>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</si>
  <si>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</si>
  <si>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</si>
  <si>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</si>
  <si>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</si>
  <si>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</si>
  <si>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</si>
  <si>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</si>
  <si>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</si>
  <si>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</si>
  <si>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</si>
  <si>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</si>
  <si>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</si>
  <si>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</si>
  <si>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</si>
  <si>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</si>
  <si>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</si>
  <si>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</si>
  <si>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</si>
  <si>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</si>
  <si>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</si>
  <si>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</si>
  <si>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</si>
  <si>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</si>
  <si>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</si>
  <si>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</si>
  <si>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</si>
  <si>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</si>
  <si>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</si>
  <si>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</si>
  <si>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</si>
  <si>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</si>
  <si>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</si>
  <si>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</si>
  <si>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</si>
  <si>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</si>
  <si>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</si>
  <si>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</si>
  <si>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</si>
  <si>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</si>
  <si>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</si>
  <si>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</si>
  <si>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</si>
  <si>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</si>
  <si>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</si>
  <si>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</si>
  <si>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</si>
  <si>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</si>
  <si>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</si>
  <si>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</si>
  <si>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</si>
  <si>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</si>
  <si>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</si>
  <si>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</si>
  <si>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</si>
  <si>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</si>
  <si>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</si>
  <si>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</si>
  <si>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</si>
  <si>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</si>
  <si>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</si>
  <si>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</si>
  <si>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</si>
  <si>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</si>
  <si>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</si>
  <si>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</si>
  <si>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</si>
  <si>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</si>
  <si>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</si>
  <si>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</si>
  <si>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</si>
  <si>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</si>
  <si>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</si>
  <si>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</si>
  <si>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</si>
  <si>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</si>
  <si>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</si>
  <si>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</si>
  <si>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</si>
  <si>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</si>
  <si>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</si>
  <si>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</si>
  <si>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</si>
  <si>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</si>
  <si>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</si>
  <si>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</si>
  <si>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</si>
  <si>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</si>
  <si>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</si>
  <si>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</si>
  <si>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</si>
  <si>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</si>
  <si>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</si>
  <si>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</si>
  <si>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</si>
  <si>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</si>
  <si>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</si>
  <si>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</si>
  <si>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</si>
  <si>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</si>
  <si>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</si>
  <si>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</si>
  <si>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</si>
  <si>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</si>
  <si>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</si>
  <si>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</si>
  <si>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</si>
  <si>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</si>
  <si>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</si>
  <si>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</si>
  <si>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</si>
  <si>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</si>
  <si>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</si>
  <si>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</si>
  <si>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</si>
  <si>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</si>
  <si>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</si>
  <si>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</si>
  <si>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</si>
  <si>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</si>
  <si>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</si>
  <si>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</si>
  <si>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</si>
  <si>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</si>
  <si>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</si>
  <si>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</si>
  <si>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</si>
  <si>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</si>
  <si>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</si>
  <si>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</si>
  <si>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</si>
  <si>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</si>
  <si>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</si>
  <si>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</si>
  <si>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</si>
  <si>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</si>
  <si>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</si>
  <si>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</si>
  <si>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</si>
  <si>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</si>
  <si>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</si>
  <si>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</si>
  <si>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</si>
  <si>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</si>
  <si>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</si>
  <si>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</si>
  <si>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</si>
  <si>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</si>
  <si>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</si>
  <si>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</si>
  <si>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</si>
  <si>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</si>
  <si>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</si>
  <si>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</si>
  <si>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</si>
  <si>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</si>
  <si>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</si>
  <si>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</si>
  <si>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</si>
  <si>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</si>
  <si>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</si>
  <si>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</si>
  <si>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</si>
  <si>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</si>
  <si>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</si>
  <si>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</si>
  <si>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</si>
  <si>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</si>
  <si>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</si>
  <si>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</si>
  <si>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</si>
  <si>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</si>
  <si>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</si>
  <si>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</si>
  <si>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</si>
  <si>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</si>
  <si>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</si>
  <si>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</si>
  <si>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</si>
  <si>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</si>
  <si>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</si>
  <si>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</si>
  <si>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</si>
  <si>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</si>
  <si>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</si>
  <si>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</si>
  <si>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</si>
  <si>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</si>
  <si>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</si>
  <si>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</si>
  <si>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</si>
  <si>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</si>
  <si>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</si>
  <si>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</si>
  <si>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</si>
  <si>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</si>
  <si>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</si>
  <si>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</si>
  <si>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</si>
  <si>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</si>
  <si>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</si>
  <si>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</si>
  <si>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</si>
  <si>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</si>
  <si>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</si>
  <si>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</si>
  <si>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</si>
  <si>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</si>
  <si>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</si>
  <si>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</si>
  <si>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</si>
  <si>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</si>
  <si>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</si>
  <si>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</si>
  <si>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</si>
  <si>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</si>
  <si>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</si>
  <si>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</si>
  <si>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</si>
  <si>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</si>
  <si>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</si>
  <si>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</si>
  <si>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</si>
  <si>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</si>
  <si>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</si>
  <si>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</si>
  <si>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</si>
  <si>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</si>
  <si>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</si>
  <si>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</si>
  <si>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</si>
  <si>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</si>
  <si>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</si>
  <si>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</si>
  <si>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</si>
  <si>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</si>
  <si>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</si>
  <si>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</si>
  <si>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</si>
  <si>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</si>
  <si>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</si>
  <si>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</si>
  <si>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</si>
  <si>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</si>
  <si>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</si>
  <si>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</si>
  <si>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</si>
  <si>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</si>
  <si>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</si>
  <si>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</si>
  <si>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</si>
  <si>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</si>
  <si>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</si>
  <si>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</si>
  <si>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</si>
  <si>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</si>
  <si>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</si>
  <si>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</si>
  <si>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</si>
  <si>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</si>
  <si>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</si>
  <si>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</si>
  <si>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</si>
  <si>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</si>
  <si>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</si>
  <si>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</si>
  <si>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</si>
  <si>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</si>
  <si>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</si>
  <si>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</si>
  <si>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</si>
  <si>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</si>
  <si>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</si>
  <si>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</si>
  <si>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</si>
  <si>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</si>
  <si>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</si>
  <si>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</si>
  <si>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</si>
  <si>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</si>
  <si>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</si>
  <si>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</si>
  <si>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</si>
  <si>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</si>
  <si>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</si>
  <si>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</si>
  <si>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</si>
  <si>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</si>
  <si>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</si>
  <si>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</si>
  <si>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</si>
  <si>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</si>
  <si>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</si>
  <si>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</si>
  <si>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</si>
  <si>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</si>
  <si>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</si>
  <si>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</si>
  <si>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</si>
  <si>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</si>
  <si>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</si>
  <si>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</si>
  <si>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</si>
  <si>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</si>
  <si>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</si>
  <si>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</si>
  <si>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</si>
  <si>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</si>
  <si>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</si>
  <si>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</si>
  <si>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</si>
  <si>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</si>
  <si>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</si>
  <si>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</si>
  <si>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</si>
  <si>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</si>
  <si>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</si>
  <si>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</si>
  <si>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</si>
  <si>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</si>
  <si>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</si>
  <si>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</si>
  <si>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</si>
  <si>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</si>
  <si>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</si>
  <si>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</si>
  <si>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</si>
  <si>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</si>
  <si>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</si>
  <si>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</si>
  <si>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</si>
  <si>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</si>
  <si>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</si>
  <si>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</si>
  <si>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</si>
  <si>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</si>
  <si>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</si>
  <si>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</si>
  <si>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</si>
  <si>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</si>
  <si>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</si>
  <si>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</si>
  <si>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</si>
  <si>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</si>
  <si>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</si>
  <si>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</si>
  <si>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</si>
  <si>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</si>
  <si>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</si>
  <si>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</si>
  <si>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</si>
  <si>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</si>
  <si>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</si>
  <si>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</si>
  <si>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</si>
  <si>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</si>
  <si>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</si>
  <si>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</si>
  <si>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</si>
  <si>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</si>
  <si>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</si>
  <si>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</si>
  <si>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</si>
  <si>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</si>
  <si>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</si>
  <si>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</si>
  <si>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</si>
  <si>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</si>
  <si>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</si>
  <si>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</si>
  <si>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</si>
  <si>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</si>
  <si>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</si>
  <si>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</si>
  <si>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</si>
  <si>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</si>
  <si>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</si>
  <si>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</si>
  <si>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</si>
  <si>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</si>
  <si>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</si>
  <si>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</si>
  <si>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</si>
  <si>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</si>
  <si>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</si>
  <si>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</si>
  <si>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</si>
  <si>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</si>
  <si>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</si>
  <si>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</si>
  <si>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</si>
  <si>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</si>
  <si>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</si>
  <si>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</si>
  <si>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</si>
  <si>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</si>
  <si>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</si>
  <si>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</si>
  <si>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</si>
  <si>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</si>
  <si>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</si>
  <si>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</si>
  <si>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</si>
  <si>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</si>
  <si>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</si>
  <si>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</si>
  <si>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</si>
  <si>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</si>
  <si>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</si>
  <si>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</si>
  <si>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</si>
  <si>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</si>
  <si>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</si>
  <si>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</si>
  <si>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</si>
  <si>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</si>
  <si>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</si>
  <si>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</si>
  <si>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</si>
  <si>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</si>
  <si>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</si>
  <si>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</si>
  <si>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</si>
  <si>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</si>
  <si>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</si>
  <si>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</si>
  <si>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</si>
  <si>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</si>
  <si>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</si>
  <si>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</si>
  <si>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</si>
  <si>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</si>
  <si>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</si>
  <si>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</si>
  <si>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</si>
  <si>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</si>
  <si>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</si>
  <si>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</si>
  <si>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</si>
  <si>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</si>
  <si>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</si>
  <si>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</si>
  <si>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</si>
  <si>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</si>
  <si>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</si>
  <si>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</si>
  <si>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</si>
  <si>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</si>
  <si>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</si>
  <si>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</si>
  <si>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</si>
  <si>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</si>
  <si>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</si>
  <si>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</si>
  <si>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</si>
  <si>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</si>
  <si>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</si>
  <si>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</si>
  <si>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</si>
  <si>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</si>
  <si>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</si>
  <si>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</si>
  <si>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</si>
  <si>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</si>
  <si>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</si>
  <si>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</si>
  <si>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</si>
  <si>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</si>
  <si>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</si>
  <si>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</si>
  <si>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</si>
  <si>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</si>
  <si>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</si>
  <si>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</si>
  <si>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</si>
  <si>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</si>
  <si>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</si>
  <si>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</si>
  <si>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</si>
  <si>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</si>
  <si>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</si>
  <si>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</si>
  <si>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</si>
  <si>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</si>
  <si>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</si>
  <si>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</si>
  <si>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</si>
  <si>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</si>
  <si>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</si>
  <si>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</si>
  <si>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</si>
  <si>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</si>
  <si>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</si>
  <si>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</si>
  <si>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</si>
  <si>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</si>
  <si>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</si>
  <si>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</si>
  <si>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</si>
  <si>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</si>
  <si>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</si>
  <si>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</si>
  <si>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</si>
  <si>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</si>
  <si>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</si>
  <si>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</si>
  <si>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</si>
  <si>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</si>
  <si>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</si>
  <si>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</si>
  <si>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</si>
  <si>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</si>
  <si>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</si>
  <si>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</si>
  <si>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</si>
  <si>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</si>
  <si>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</si>
  <si>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</si>
  <si>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</si>
  <si>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</si>
  <si>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</si>
  <si>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</si>
  <si>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</si>
  <si>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</si>
  <si>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</si>
  <si>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</si>
  <si>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</si>
  <si>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</si>
  <si>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</si>
  <si>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</si>
  <si>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</si>
  <si>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</si>
  <si>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</si>
  <si>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</si>
  <si>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</si>
  <si>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</si>
  <si>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</si>
  <si>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</si>
  <si>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</si>
  <si>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</si>
  <si>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</si>
  <si>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</si>
  <si>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</si>
  <si>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</si>
  <si>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</si>
  <si>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</si>
  <si>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</si>
  <si>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</si>
  <si>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</si>
  <si>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</si>
  <si>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</si>
  <si>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</si>
  <si>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</si>
  <si>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</si>
  <si>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</si>
  <si>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</si>
  <si>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</si>
  <si>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</si>
  <si>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</si>
  <si>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</si>
  <si>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</si>
  <si>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</si>
  <si>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</si>
  <si>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</si>
  <si>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</si>
  <si>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</si>
  <si>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</si>
  <si>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</si>
  <si>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</si>
  <si>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</si>
  <si>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</si>
  <si>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</si>
  <si>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</si>
  <si>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</si>
  <si>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</si>
  <si>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</si>
  <si>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</si>
  <si>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</si>
  <si>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</si>
  <si>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</si>
  <si>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</si>
  <si>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</si>
  <si>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</si>
  <si>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</si>
  <si>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</si>
  <si>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</si>
  <si>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</si>
  <si>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</si>
  <si>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</si>
  <si>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</si>
  <si>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</si>
  <si>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</si>
  <si>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</si>
  <si>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</si>
  <si>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</si>
  <si>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</si>
  <si>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</si>
  <si>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</si>
  <si>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</si>
  <si>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</si>
  <si>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</si>
  <si>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</si>
  <si>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</si>
  <si>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</si>
  <si>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</si>
  <si>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</si>
  <si>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</si>
  <si>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</si>
  <si>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</si>
  <si>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</si>
  <si>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</si>
  <si>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</si>
  <si>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</si>
  <si>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</si>
  <si>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</si>
  <si>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</si>
  <si>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</si>
  <si>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</si>
  <si>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</si>
  <si>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</si>
  <si>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</si>
  <si>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</si>
  <si>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</si>
  <si>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</si>
  <si>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</si>
  <si>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</si>
  <si>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</si>
  <si>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</si>
  <si>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</si>
  <si>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</si>
  <si>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</si>
  <si>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</si>
  <si>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</si>
  <si>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</si>
  <si>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</si>
  <si>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</si>
  <si>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</si>
  <si>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</si>
  <si>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</si>
  <si>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</si>
  <si>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</si>
  <si>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</si>
  <si>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</si>
  <si>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</si>
  <si>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</si>
  <si>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</si>
  <si>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</si>
  <si>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</si>
  <si>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</si>
  <si>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</si>
  <si>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</si>
  <si>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</si>
  <si>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</si>
  <si>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</si>
  <si>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</si>
  <si>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</si>
  <si>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</si>
  <si>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</si>
  <si>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</si>
  <si>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</si>
  <si>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</si>
  <si>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</si>
  <si>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</si>
  <si>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</si>
  <si>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</si>
  <si>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</si>
  <si>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</si>
  <si>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</si>
  <si>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</si>
  <si>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</si>
  <si>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</si>
  <si>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</si>
  <si>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</si>
  <si>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</si>
  <si>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</si>
  <si>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</si>
  <si>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</si>
  <si>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</si>
  <si>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</si>
  <si>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</si>
  <si>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</si>
  <si>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</si>
  <si>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</si>
  <si>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</si>
  <si>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</si>
  <si>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</si>
  <si>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</si>
  <si>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</si>
  <si>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</si>
  <si>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</si>
  <si>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</si>
  <si>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</si>
  <si>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</si>
  <si>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</si>
  <si>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</si>
  <si>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</si>
  <si>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</si>
  <si>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</si>
  <si>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</si>
  <si>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</si>
  <si>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</si>
  <si>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</si>
  <si>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</si>
  <si>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</si>
  <si>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</si>
  <si>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</si>
  <si>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</si>
  <si>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</si>
  <si>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</si>
  <si>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</si>
  <si>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</si>
  <si>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</si>
  <si>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</si>
  <si>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</si>
  <si>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</si>
  <si>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</si>
  <si>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</si>
  <si>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</si>
  <si>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</si>
  <si>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</si>
  <si>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</si>
  <si>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</si>
  <si>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</si>
  <si>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</si>
  <si>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</si>
  <si>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</si>
  <si>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</si>
  <si>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</si>
  <si>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</si>
  <si>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</si>
  <si>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</si>
  <si>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</si>
  <si>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</si>
  <si>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</si>
  <si>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</si>
  <si>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</si>
  <si>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</si>
  <si>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</si>
  <si>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</si>
  <si>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</si>
  <si>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</si>
  <si>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</si>
  <si>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</si>
  <si>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</si>
  <si>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</si>
  <si>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</si>
  <si>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</si>
  <si>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</si>
  <si>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</si>
  <si>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</si>
  <si>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</si>
  <si>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</si>
  <si>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</si>
  <si>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</si>
  <si>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</si>
  <si>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</si>
  <si>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</si>
  <si>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</si>
  <si>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</si>
  <si>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</si>
  <si>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</si>
  <si>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</si>
  <si>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</si>
  <si>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</si>
  <si>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</si>
  <si>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</si>
  <si>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</si>
  <si>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</si>
  <si>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</si>
  <si>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</si>
  <si>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</si>
  <si>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</si>
  <si>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</si>
  <si>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</si>
  <si>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</si>
  <si>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</si>
  <si>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</si>
  <si>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</si>
  <si>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</si>
  <si>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</si>
  <si>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</si>
  <si>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</si>
  <si>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</si>
  <si>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</si>
  <si>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</si>
  <si>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</si>
  <si>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</si>
  <si>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</si>
  <si>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</si>
  <si>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</si>
  <si>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</si>
  <si>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</si>
  <si>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</si>
  <si>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</si>
  <si>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</si>
  <si>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</si>
  <si>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</si>
  <si>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</si>
  <si>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</si>
  <si>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</si>
  <si>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</si>
  <si>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</si>
  <si>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</si>
  <si>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</si>
  <si>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</si>
  <si>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</si>
  <si>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</si>
  <si>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</si>
  <si>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</si>
  <si>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</si>
  <si>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</si>
  <si>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</si>
  <si>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</si>
  <si>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</si>
  <si>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</si>
  <si>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</si>
  <si>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</si>
  <si>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</si>
  <si>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</si>
  <si>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</si>
  <si>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</si>
  <si>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</si>
  <si>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</si>
  <si>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</si>
  <si>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</si>
  <si>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</si>
  <si>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</si>
  <si>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</si>
  <si>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</si>
  <si>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</si>
  <si>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</si>
  <si>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</si>
  <si>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</si>
  <si>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</si>
  <si>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</si>
  <si>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</si>
  <si>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</si>
  <si>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</si>
  <si>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</si>
  <si>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</si>
  <si>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</si>
  <si>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</si>
  <si>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</si>
  <si>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</si>
  <si>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</si>
  <si>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</si>
  <si>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</si>
  <si>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</si>
  <si>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</si>
  <si>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</si>
  <si>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</si>
  <si>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</si>
  <si>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</si>
  <si>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</si>
  <si>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</si>
  <si>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</si>
  <si>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</si>
  <si>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</si>
  <si>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</si>
  <si>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</si>
  <si>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</si>
  <si>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</si>
  <si>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</si>
  <si>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</si>
  <si>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</si>
  <si>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</si>
  <si>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</si>
  <si>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</si>
  <si>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</si>
  <si>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</si>
  <si>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</si>
  <si>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</si>
  <si>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</si>
  <si>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</si>
  <si>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</si>
  <si>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</si>
  <si>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</si>
  <si>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</si>
  <si>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</si>
  <si>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</si>
  <si>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</si>
  <si>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</si>
  <si>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</si>
  <si>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</si>
  <si>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</si>
  <si>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</si>
  <si>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</si>
  <si>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</si>
  <si>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</si>
  <si>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</si>
  <si>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</si>
  <si>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</si>
  <si>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</si>
  <si>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</si>
  <si>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</si>
  <si>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</si>
  <si>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</si>
  <si>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</si>
  <si>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</si>
  <si>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</si>
  <si>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</si>
  <si>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</si>
  <si>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</si>
  <si>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</si>
  <si>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</si>
  <si>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</si>
  <si>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</si>
  <si>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</si>
  <si>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</si>
  <si>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</si>
  <si>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</si>
  <si>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</si>
  <si>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</si>
  <si>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</si>
  <si>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</si>
  <si>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</si>
  <si>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</si>
  <si>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</si>
  <si>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</si>
  <si>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</si>
  <si>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</si>
  <si>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</si>
  <si>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</si>
  <si>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</si>
  <si>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</si>
  <si>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</si>
  <si>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</si>
  <si>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</si>
  <si>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</si>
  <si>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</si>
  <si>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</si>
  <si>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</si>
  <si>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</si>
  <si>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</si>
  <si>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</si>
  <si>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</si>
  <si>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</si>
  <si>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</si>
  <si>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</si>
  <si>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</si>
  <si>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</si>
  <si>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</si>
  <si>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</si>
  <si>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</si>
  <si>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</si>
  <si>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</si>
  <si>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</si>
  <si>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</si>
  <si>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</si>
  <si>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</si>
  <si>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</si>
  <si>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</si>
  <si>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</si>
  <si>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</si>
  <si>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</si>
  <si>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</si>
  <si>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</si>
  <si>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</si>
  <si>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</si>
  <si>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</si>
  <si>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</si>
  <si>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</si>
  <si>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</si>
  <si>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</si>
  <si>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</si>
  <si>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</si>
  <si>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</si>
  <si>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</si>
  <si>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</si>
  <si>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</si>
  <si>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</si>
  <si>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</si>
  <si>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</si>
  <si>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</si>
  <si>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</si>
  <si>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</si>
  <si>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</si>
  <si>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</si>
  <si>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</si>
  <si>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</si>
  <si>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</si>
  <si>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</si>
  <si>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</si>
  <si>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</si>
  <si>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</si>
  <si>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</si>
  <si>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</si>
  <si>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</si>
  <si>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</si>
  <si>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</si>
  <si>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</si>
  <si>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</si>
  <si>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</si>
  <si>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</si>
  <si>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</si>
  <si>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</si>
  <si>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</si>
  <si>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</si>
  <si>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</si>
  <si>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</si>
  <si>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</si>
  <si>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</si>
  <si>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</si>
  <si>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</si>
  <si>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</si>
  <si>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</si>
  <si>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</si>
  <si>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</si>
  <si>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</si>
  <si>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</si>
  <si>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</si>
  <si>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</si>
  <si>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</si>
  <si>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</si>
  <si>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</si>
  <si>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</si>
  <si>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</si>
  <si>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</si>
  <si>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</si>
  <si>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</si>
  <si>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</si>
  <si>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</si>
  <si>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</si>
  <si>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</si>
  <si>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</si>
  <si>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</si>
  <si>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</si>
  <si>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</si>
  <si>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</si>
  <si>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</si>
  <si>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</si>
  <si>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</si>
  <si>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</si>
  <si>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</si>
  <si>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</si>
  <si>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</si>
  <si>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</si>
  <si>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</si>
  <si>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</si>
  <si>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</si>
  <si>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</si>
  <si>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</si>
  <si>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</si>
  <si>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</si>
  <si>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</si>
  <si>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</si>
  <si>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</si>
  <si>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</si>
  <si>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</si>
  <si>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</si>
  <si>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</si>
  <si>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</si>
  <si>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</si>
  <si>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</si>
  <si>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</si>
  <si>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</si>
  <si>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</si>
  <si>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</si>
  <si>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</si>
  <si>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</si>
  <si>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</si>
  <si>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</si>
  <si>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</si>
  <si>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</si>
  <si>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</si>
  <si>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</si>
  <si>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</si>
  <si>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</si>
  <si>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</si>
  <si>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</si>
  <si>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</si>
  <si>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</si>
  <si>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</si>
  <si>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</si>
  <si>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</si>
  <si>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</si>
  <si>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</si>
  <si>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</si>
  <si>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</si>
  <si>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</si>
  <si>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</si>
  <si>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</si>
  <si>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</si>
  <si>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</si>
  <si>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</si>
  <si>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</si>
  <si>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</si>
  <si>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</si>
  <si>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</si>
  <si>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</si>
  <si>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</si>
  <si>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</si>
  <si>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</si>
  <si>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</si>
  <si>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</si>
  <si>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</si>
  <si>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</si>
  <si>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</si>
  <si>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</si>
  <si>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</si>
  <si>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</si>
  <si>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</si>
  <si>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</si>
  <si>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</si>
  <si>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</si>
  <si>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</si>
  <si>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</si>
  <si>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</si>
  <si>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</si>
  <si>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</si>
  <si>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</si>
  <si>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</si>
  <si>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</si>
  <si>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</si>
  <si>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</si>
  <si>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</si>
  <si>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</si>
  <si>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</si>
  <si>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</si>
  <si>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</si>
  <si>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</si>
  <si>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</si>
  <si>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</si>
  <si>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</si>
  <si>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</si>
  <si>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</si>
  <si>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</si>
  <si>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</si>
  <si>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</si>
  <si>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</si>
  <si>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</si>
  <si>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</si>
  <si>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</si>
  <si>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</si>
  <si>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</si>
  <si>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</si>
  <si>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</si>
  <si>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</si>
  <si>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</si>
  <si>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</si>
  <si>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</si>
  <si>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</si>
  <si>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</si>
  <si>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</si>
  <si>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</si>
  <si>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</si>
  <si>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</si>
  <si>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</si>
  <si>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</si>
  <si>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</si>
  <si>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</si>
  <si>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</si>
  <si>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</si>
  <si>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</si>
  <si>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</si>
  <si>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</si>
  <si>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</si>
  <si>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</si>
  <si>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</si>
  <si>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</si>
  <si>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</si>
  <si>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</si>
  <si>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</si>
  <si>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</si>
  <si>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</si>
  <si>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</si>
  <si>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</si>
  <si>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</si>
  <si>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</si>
  <si>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</si>
  <si>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</si>
  <si>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</si>
  <si>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</si>
  <si>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</si>
  <si>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</si>
  <si>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</si>
  <si>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</si>
  <si>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</si>
  <si>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</si>
  <si>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</si>
  <si>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</si>
  <si>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</si>
  <si>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</si>
  <si>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</si>
  <si>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</si>
  <si>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</si>
  <si>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</si>
  <si>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</si>
  <si>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</si>
  <si>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</si>
  <si>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</si>
  <si>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</si>
  <si>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</si>
  <si>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</si>
  <si>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</si>
  <si>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</si>
  <si>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</si>
  <si>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</si>
  <si>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</si>
  <si>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</si>
  <si>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</si>
  <si>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</si>
  <si>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</si>
  <si>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</si>
  <si>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</si>
  <si>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</si>
  <si>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</si>
  <si>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</si>
  <si>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</si>
  <si>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</si>
  <si>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</si>
  <si>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</si>
  <si>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</si>
  <si>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</si>
  <si>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</si>
  <si>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</si>
  <si>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</si>
  <si>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</si>
  <si>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</si>
  <si>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</si>
  <si>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</si>
  <si>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</si>
  <si>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</si>
  <si>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</si>
  <si>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</si>
  <si>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</si>
  <si>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</si>
  <si>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</si>
  <si>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</si>
  <si>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</si>
  <si>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</si>
  <si>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</si>
  <si>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</si>
  <si>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</si>
  <si>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</si>
  <si>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</si>
  <si>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</si>
  <si>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</si>
  <si>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</si>
  <si>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</si>
  <si>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</si>
  <si>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</si>
  <si>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</si>
  <si>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</si>
  <si>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</si>
  <si>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</si>
  <si>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</si>
  <si>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</si>
  <si>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</si>
  <si>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</si>
  <si>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</si>
  <si>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</si>
  <si>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</si>
  <si>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</si>
  <si>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</si>
  <si>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</si>
  <si>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</si>
  <si>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</si>
  <si>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</si>
  <si>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</si>
  <si>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</si>
  <si>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</si>
  <si>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</si>
  <si>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</si>
  <si>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</si>
  <si>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</si>
  <si>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</si>
  <si>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</si>
  <si>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</si>
  <si>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</si>
  <si>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</si>
  <si>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</si>
  <si>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</si>
  <si>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</si>
  <si>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</si>
  <si>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</si>
  <si>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</si>
  <si>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</si>
  <si>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</si>
  <si>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</si>
  <si>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</si>
  <si>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</si>
  <si>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</si>
  <si>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</si>
  <si>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</si>
  <si>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</si>
  <si>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</si>
  <si>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</si>
  <si>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</si>
  <si>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</si>
  <si>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</si>
  <si>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</si>
  <si>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</si>
  <si>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</si>
  <si>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</si>
  <si>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</si>
  <si>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</si>
  <si>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</si>
  <si>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</si>
  <si>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</si>
  <si>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</si>
  <si>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</si>
  <si>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</si>
  <si>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</si>
  <si>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</si>
  <si>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</si>
  <si>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</si>
  <si>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</si>
  <si>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</si>
  <si>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</si>
  <si>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</si>
  <si>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</si>
  <si>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</si>
  <si>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</si>
  <si>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</si>
  <si>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</si>
  <si>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</si>
  <si>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</si>
  <si>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</si>
  <si>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</si>
  <si>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</si>
  <si>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</si>
  <si>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</si>
  <si>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</si>
  <si>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</si>
  <si>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</si>
  <si>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</si>
  <si>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</si>
  <si>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</si>
  <si>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</si>
  <si>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</si>
  <si>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</si>
  <si>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</si>
  <si>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</si>
  <si>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</si>
  <si>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</si>
  <si>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</si>
  <si>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</si>
  <si>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</si>
  <si>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</si>
  <si>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</si>
  <si>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</si>
  <si>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</si>
  <si>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</si>
  <si>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</si>
  <si>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</si>
  <si>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</si>
  <si>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</si>
  <si>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</si>
  <si>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</si>
  <si>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</si>
  <si>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</si>
  <si>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</si>
  <si>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</si>
  <si>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</si>
  <si>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</si>
  <si>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</si>
  <si>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</si>
  <si>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</si>
  <si>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</si>
  <si>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</si>
  <si>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</si>
  <si>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</si>
  <si>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</si>
  <si>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</si>
  <si>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</si>
  <si>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</si>
  <si>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</si>
  <si>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</si>
  <si>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</si>
  <si>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</si>
  <si>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</si>
  <si>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</si>
  <si>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</si>
  <si>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</si>
  <si>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</si>
  <si>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</si>
  <si>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</si>
  <si>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</si>
  <si>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</si>
  <si>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</si>
  <si>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</si>
  <si>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</si>
  <si>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</si>
  <si>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</si>
  <si>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</si>
  <si>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</si>
  <si>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</si>
  <si>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</si>
  <si>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</si>
  <si>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</si>
  <si>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</si>
  <si>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</si>
  <si>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</si>
  <si>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</si>
  <si>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</si>
  <si>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</si>
  <si>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</si>
  <si>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</si>
  <si>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</si>
  <si>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</si>
  <si>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</si>
  <si>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</si>
  <si>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</si>
  <si>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</si>
  <si>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</si>
  <si>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</si>
  <si>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</si>
  <si>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</si>
  <si>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</si>
  <si>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</si>
  <si>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</si>
  <si>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</si>
  <si>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</si>
  <si>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</si>
  <si>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</si>
  <si>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</si>
  <si>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</si>
  <si>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</si>
  <si>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</si>
  <si>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</si>
  <si>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北</t>
    <phoneticPr fontId="4" type="noConversion"/>
  </si>
  <si>
    <t>=</t>
    <phoneticPr fontId="146" type="noConversion"/>
  </si>
  <si>
    <t>南北</t>
  </si>
  <si>
    <t>顶层/6</t>
    <phoneticPr fontId="20" type="noConversion"/>
  </si>
  <si>
    <t>混合</t>
  </si>
  <si>
    <t>普通装修</t>
  </si>
  <si>
    <t>顶层/6</t>
    <phoneticPr fontId="20" type="noConversion"/>
  </si>
  <si>
    <t>40-50（含）</t>
  </si>
  <si>
    <t>估价对象周边有新安中里小区、新安南里、恬心家园、建功东里、白纸坊中里、右安西里等居住小区，小区规模和社区发展完善程度较好，综合评价居住社区成熟度较好</t>
  </si>
  <si>
    <t>估价对象周边有新安中里小区、新安南里、恬心家园、建功东里、白纸坊中里、右安西里等居住小区，小区规模和社区发展完善程度较好，综合评价居住社区成熟度较好</t>
    <phoneticPr fontId="35" type="noConversion"/>
  </si>
  <si>
    <t>估价对象紧邻城市支路——白纸坊街，临近地铁4号线（菜市口站），以估价对象为中心半径2公里范围内有10路、19路、40路、83路、395路等多条公交线路，综合评价交通便捷度较好</t>
  </si>
  <si>
    <t>估价对象紧邻城市支路——白纸坊街，临近地铁4号线（菜市口站），以估价对象为中心半径2公里范围内有10路、19路、40路、83路、395路等多条公交线路，综合评价交通便捷度较好</t>
    <phoneticPr fontId="35" type="noConversion"/>
  </si>
  <si>
    <t>估价对象所在区域基础设施水平——七通</t>
    <phoneticPr fontId="20" type="noConversion"/>
  </si>
  <si>
    <t>自然环境：陶然亭公园、北京大观园、万寿公园等；人文环境：古陶文明博物馆等，综合评价环境状况较好</t>
  </si>
  <si>
    <t>自然环境：陶然亭公园、北京大观园、万寿公园等；人文环境：古陶文明博物馆等，综合评价环境状况较好</t>
    <phoneticPr fontId="35" type="noConversion"/>
  </si>
  <si>
    <t>城市支路——白纸坊街</t>
    <phoneticPr fontId="20" type="noConversion"/>
  </si>
  <si>
    <t>北京市西城区白纸坊街25号院2号楼3层3-3-303号住宅用房</t>
    <phoneticPr fontId="4" type="noConversion"/>
  </si>
  <si>
    <t>支</t>
    <phoneticPr fontId="20" type="noConversion"/>
  </si>
  <si>
    <r>
      <t>3/6</t>
    </r>
    <r>
      <rPr>
        <sz val="11"/>
        <rFont val="宋体"/>
        <family val="3"/>
        <charset val="134"/>
      </rPr>
      <t>（中楼层）</t>
    </r>
    <phoneticPr fontId="20" type="noConversion"/>
  </si>
  <si>
    <t>板楼</t>
  </si>
  <si>
    <t>北京市西城区白纸坊街25号院</t>
    <phoneticPr fontId="4" type="noConversion"/>
  </si>
  <si>
    <t>估价对象所在区域基础设施水平——七通</t>
    <phoneticPr fontId="20" type="noConversion"/>
  </si>
  <si>
    <t>自然环境：陶然亭公园、北京大观园、万寿公园等；人文环境：古陶文明博物馆等，综合评价环境状况较好</t>
    <phoneticPr fontId="20" type="noConversion"/>
  </si>
  <si>
    <t>支</t>
    <phoneticPr fontId="20" type="noConversion"/>
  </si>
  <si>
    <t>支</t>
    <phoneticPr fontId="20" type="noConversion"/>
  </si>
  <si>
    <t>底楼层/6</t>
    <phoneticPr fontId="20" type="noConversion"/>
  </si>
  <si>
    <t>底楼层/6</t>
    <phoneticPr fontId="20" type="noConversion"/>
  </si>
  <si>
    <t>高楼层/6</t>
    <phoneticPr fontId="20" type="noConversion"/>
  </si>
  <si>
    <r>
      <t>3/6</t>
    </r>
    <r>
      <rPr>
        <sz val="11"/>
        <color indexed="8"/>
        <rFont val="宋体"/>
        <family val="3"/>
        <charset val="134"/>
      </rPr>
      <t>（中楼层）</t>
    </r>
    <phoneticPr fontId="20" type="noConversion"/>
  </si>
  <si>
    <t>精装修</t>
  </si>
  <si>
    <t>21</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</si>
</sst>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23954</xdr:colOff>
      <xdr:row>10</xdr:row>
      <xdr:rowOff>6975</xdr:rowOff>
    </xdr:to>
    <xdr:pic>
      <xdr:nvPicPr>
        <xdr:cNvPr id="12" name="图片 11"/>
        <xdr:cNvPicPr>
          <a:picLocks noChangeAspect="1"/>
        </xdr:cNvPicPr>
      </xdr:nvPicPr>
      <xdr:blipFill>
        <a:blip xmlns:r="http://schemas.openxmlformats.org/officeDocument/2006/relationships" r:embed="rId1"/>
        <a:stretch>
          <a:fillRect/>
        </a:stretch>
      </xdr:blipFill>
      <xdr:spPr>
        <a:xfrm>
          <a:off x="0" y="0"/>
          <a:ext cx="8219048" cy="1714286"/>
        </a:xfrm>
        <a:prstGeom prst="rect">
          <a:avLst/>
        </a:prstGeom>
      </xdr:spPr>
    </xdr:pic>
    <xdr:clientData/>
  </xdr:twoCellAnchor>
  <xdr:twoCellAnchor editAs="oneCell">
    <xdr:from>
      <xdr:col>0</xdr:col>
      <xdr:colOff>0</xdr:colOff>
      <xdr:row>11</xdr:row>
      <xdr:rowOff>26958</xdr:rowOff>
    </xdr:from>
    <xdr:to>
      <xdr:col>11</xdr:col>
      <xdr:colOff>630688</xdr:colOff>
      <xdr:row>21</xdr:row>
      <xdr:rowOff>24408</xdr:rowOff>
    </xdr:to>
    <xdr:pic>
      <xdr:nvPicPr>
        <xdr:cNvPr id="13" name="图片 12"/>
        <xdr:cNvPicPr>
          <a:picLocks noChangeAspect="1"/>
        </xdr:cNvPicPr>
      </xdr:nvPicPr>
      <xdr:blipFill>
        <a:blip xmlns:r="http://schemas.openxmlformats.org/officeDocument/2006/relationships" r:embed="rId2"/>
        <a:stretch>
          <a:fillRect/>
        </a:stretch>
      </xdr:blipFill>
      <xdr:spPr>
        <a:xfrm>
          <a:off x="0" y="1905000"/>
          <a:ext cx="8142858" cy="1704762"/>
        </a:xfrm>
        <a:prstGeom prst="rect">
          <a:avLst/>
        </a:prstGeom>
      </xdr:spPr>
    </xdr:pic>
    <xdr:clientData/>
  </xdr:twoCellAnchor>
  <xdr:twoCellAnchor editAs="oneCell">
    <xdr:from>
      <xdr:col>0</xdr:col>
      <xdr:colOff>17971</xdr:colOff>
      <xdr:row>23</xdr:row>
      <xdr:rowOff>0</xdr:rowOff>
    </xdr:from>
    <xdr:to>
      <xdr:col>11</xdr:col>
      <xdr:colOff>658183</xdr:colOff>
      <xdr:row>32</xdr:row>
      <xdr:rowOff>91992</xdr:rowOff>
    </xdr:to>
    <xdr:pic>
      <xdr:nvPicPr>
        <xdr:cNvPr id="14" name="图片 13"/>
        <xdr:cNvPicPr>
          <a:picLocks noChangeAspect="1"/>
        </xdr:cNvPicPr>
      </xdr:nvPicPr>
      <xdr:blipFill>
        <a:blip xmlns:r="http://schemas.openxmlformats.org/officeDocument/2006/relationships" r:embed="rId3"/>
        <a:stretch>
          <a:fillRect/>
        </a:stretch>
      </xdr:blipFill>
      <xdr:spPr>
        <a:xfrm>
          <a:off x="17971" y="3926816"/>
          <a:ext cx="8152382" cy="1628572"/>
        </a:xfrm>
        <a:prstGeom prst="rect">
          <a:avLst/>
        </a:prstGeom>
      </xdr:spPr>
    </xdr:pic>
    <xdr:clientData/>
  </xdr:twoCellAnchor>
  <xdr:twoCellAnchor editAs="oneCell">
    <xdr:from>
      <xdr:col>0</xdr:col>
      <xdr:colOff>0</xdr:colOff>
      <xdr:row>39</xdr:row>
      <xdr:rowOff>0</xdr:rowOff>
    </xdr:from>
    <xdr:to>
      <xdr:col>13</xdr:col>
      <xdr:colOff>83886</xdr:colOff>
      <xdr:row>49</xdr:row>
      <xdr:rowOff>83165</xdr:rowOff>
    </xdr:to>
    <xdr:pic>
      <xdr:nvPicPr>
        <xdr:cNvPr id="15" name="图片 14"/>
        <xdr:cNvPicPr>
          <a:picLocks noChangeAspect="1"/>
        </xdr:cNvPicPr>
      </xdr:nvPicPr>
      <xdr:blipFill>
        <a:blip xmlns:r="http://schemas.openxmlformats.org/officeDocument/2006/relationships" r:embed="rId4"/>
        <a:stretch>
          <a:fillRect/>
        </a:stretch>
      </xdr:blipFill>
      <xdr:spPr>
        <a:xfrm>
          <a:off x="0" y="6658514"/>
          <a:ext cx="8961905" cy="1790476"/>
        </a:xfrm>
        <a:prstGeom prst="rect">
          <a:avLst/>
        </a:prstGeom>
      </xdr:spPr>
    </xdr:pic>
    <xdr:clientData/>
  </xdr:twoCellAnchor>
  <xdr:twoCellAnchor editAs="oneCell">
    <xdr:from>
      <xdr:col>0</xdr:col>
      <xdr:colOff>0</xdr:colOff>
      <xdr:row>50</xdr:row>
      <xdr:rowOff>0</xdr:rowOff>
    </xdr:from>
    <xdr:to>
      <xdr:col>12</xdr:col>
      <xdr:colOff>319192</xdr:colOff>
      <xdr:row>60</xdr:row>
      <xdr:rowOff>26022</xdr:rowOff>
    </xdr:to>
    <xdr:pic>
      <xdr:nvPicPr>
        <xdr:cNvPr id="16" name="图片 15"/>
        <xdr:cNvPicPr>
          <a:picLocks noChangeAspect="1"/>
        </xdr:cNvPicPr>
      </xdr:nvPicPr>
      <xdr:blipFill>
        <a:blip xmlns:r="http://schemas.openxmlformats.org/officeDocument/2006/relationships" r:embed="rId5"/>
        <a:stretch>
          <a:fillRect/>
        </a:stretch>
      </xdr:blipFill>
      <xdr:spPr>
        <a:xfrm>
          <a:off x="0" y="8536557"/>
          <a:ext cx="8514286" cy="17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估价对象为房地产，为所有。根据《不动产权证书》[]，估价对象建筑面积为62.1平方米，（分摊）出让国有建设用地使用权面积为平方米。估价对象用途为。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2018年2月9日（评估专业人员实地查勘之日）</v>
      </c>
    </row>
    <row r="10" spans="1:2">
      <c r="A10" s="1708" t="s">
        <v>1120</v>
      </c>
      <c r="B10" s="1695" t="str">
        <f>'预评函-1'!A13</f>
        <v>本次估价的“房地产价值”是指在正常市场情况下，在价值时点2018年2月9日，估价对象规划用途为，假定未设立法定优先受偿款下的房地产市场价值。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62.1</v>
      </c>
    </row>
    <row r="19" spans="1:2">
      <c r="A19" s="1708" t="s">
        <v>1129</v>
      </c>
      <c r="B19" s="1695">
        <f ca="1">'预评函-2（1）'!D7</f>
        <v>5645511</v>
      </c>
    </row>
    <row r="20" spans="1:2">
      <c r="A20" s="1708" t="s">
        <v>1167</v>
      </c>
      <c r="B20" s="1695" t="str">
        <f>'预评函-2（1）'!C7</f>
        <v>总价（元）</v>
      </c>
    </row>
    <row r="21" spans="1:2">
      <c r="A21" s="1708" t="s">
        <v>1130</v>
      </c>
      <c r="B21" s="1695">
        <f ca="1">'预评函-2（1）'!D9</f>
        <v>90910</v>
      </c>
    </row>
    <row r="22" spans="1:2">
      <c r="A22" s="1708" t="s">
        <v>1131</v>
      </c>
      <c r="B22" s="1695" t="str">
        <f ca="1">'预评函-2（1）'!D8</f>
        <v>伍佰陆拾肆万伍仟伍佰壹拾壹元整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5645511</v>
      </c>
    </row>
    <row r="30" spans="1:2">
      <c r="A30" s="1708" t="s">
        <v>1137</v>
      </c>
      <c r="B30" s="1695" t="str">
        <f ca="1">'预评函-2（1）'!D16</f>
        <v>伍佰陆拾肆万伍仟伍佰壹拾壹元整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5210811</v>
      </c>
    </row>
    <row r="38" spans="1:2">
      <c r="A38" s="1708" t="s">
        <v>1145</v>
      </c>
      <c r="B38" s="1695">
        <f ca="1">'预评函-2（2）'!E4</f>
        <v>83910</v>
      </c>
    </row>
    <row r="39" spans="1:2">
      <c r="A39" s="1708" t="s">
        <v>1146</v>
      </c>
      <c r="B39" s="1695" t="str">
        <f ca="1">'预评函-2（2）'!D5</f>
        <v>伍佰贰拾壹万零捌佰壹拾壹元整</v>
      </c>
    </row>
    <row r="40" spans="1:2">
      <c r="A40" s="1708" t="s">
        <v>1147</v>
      </c>
      <c r="B40" s="1695">
        <f ca="1">'预评函-2（2）'!F4</f>
        <v>434700</v>
      </c>
    </row>
    <row r="41" spans="1:2">
      <c r="A41" s="1708" t="s">
        <v>1148</v>
      </c>
      <c r="B41" s="1695">
        <f ca="1">'预评函-2（2）'!G4</f>
        <v>7000</v>
      </c>
    </row>
    <row r="42" spans="1:2" s="1705" customFormat="1" ht="15.75" thickBot="1">
      <c r="A42" s="1709" t="s">
        <v>1149</v>
      </c>
      <c r="B42" s="1697" t="str">
        <f ca="1">'预评函-2（2）'!F5</f>
        <v>肆拾叁万肆仟柒佰元整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90910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31" zoomScaleNormal="100" zoomScaleSheetLayoutView="110" workbookViewId="0">
      <selection activeCell="F10" sqref="F10"/>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43140</v>
      </c>
      <c r="C2" s="2005" t="s">
        <v>1550</v>
      </c>
      <c r="D2" s="1089">
        <v>43140</v>
      </c>
      <c r="E2" s="1065"/>
      <c r="F2" s="1065"/>
      <c r="G2" s="1689"/>
      <c r="H2" s="1021"/>
    </row>
    <row r="3" spans="1:10" ht="13.5" thickBot="1">
      <c r="A3" s="2006" t="s">
        <v>1551</v>
      </c>
      <c r="B3" s="2007" t="s">
        <v>2816</v>
      </c>
      <c r="C3" s="1066">
        <f ca="1">SUMIF(注册房地产估价师,B3,估价师及机构信息!B3:B24)</f>
        <v>1119970111</v>
      </c>
      <c r="D3" s="2007" t="s">
        <v>2902</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t="s">
        <v>399</v>
      </c>
      <c r="G9" s="1013"/>
    </row>
    <row r="10" spans="1:10" ht="13.5" thickBot="1">
      <c r="A10" s="2813"/>
      <c r="B10" s="345" t="s">
        <v>1566</v>
      </c>
      <c r="C10" s="2828"/>
      <c r="D10" s="2829"/>
      <c r="E10" s="2030" t="s">
        <v>1567</v>
      </c>
      <c r="F10" s="1014" t="s">
        <v>236</v>
      </c>
      <c r="G10" s="1015"/>
    </row>
    <row r="11" spans="1:10" ht="13.5" thickBot="1">
      <c r="A11" s="2813"/>
      <c r="B11" s="2031" t="s">
        <v>1568</v>
      </c>
      <c r="C11" s="2830"/>
      <c r="D11" s="2831"/>
      <c r="E11" s="1023"/>
      <c r="F11" s="1022"/>
      <c r="G11" s="1075"/>
    </row>
    <row r="12" spans="1:10" ht="24.75" thickBot="1">
      <c r="A12" s="2817" t="s">
        <v>1569</v>
      </c>
      <c r="B12" s="2032" t="s">
        <v>1570</v>
      </c>
      <c r="C12" s="1017">
        <v>62.1</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D56" sqref="D5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43140</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62.1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48</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0.90600000000000003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2102"/>
      <c r="C18" s="1861"/>
      <c r="D18" s="2107" t="str">
        <f>IF(B25=0,"建安总额","在建建安")</f>
        <v>建安总额</v>
      </c>
      <c r="E18" s="987">
        <f>ROUND(B5*E17*IF(B25=0,1,E20),0)</f>
        <v>111780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v>
      </c>
      <c r="C21" s="1861"/>
      <c r="D21" s="2100" t="s">
        <v>1677</v>
      </c>
      <c r="E21" s="712">
        <v>0.03</v>
      </c>
      <c r="F21" s="1858" t="s">
        <v>1678</v>
      </c>
      <c r="G21" s="1861"/>
      <c r="H21" s="2746" t="s">
        <v>2878</v>
      </c>
      <c r="I21" s="2747">
        <v>0.02</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v>
      </c>
      <c r="C22" s="1861"/>
      <c r="D22" s="2100" t="s">
        <v>1680</v>
      </c>
      <c r="E22" s="40">
        <v>0.05</v>
      </c>
      <c r="F22" s="1858" t="s">
        <v>1681</v>
      </c>
      <c r="G22" s="1861"/>
      <c r="H22" s="2746" t="s">
        <v>2879</v>
      </c>
      <c r="I22" s="2749" t="s">
        <v>2933</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2746" t="s">
        <v>2882</v>
      </c>
      <c r="I24" s="2751">
        <f>ROUND(1-(1-I21)*I22/I23,2)</f>
        <v>0.66</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1997</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75</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5000</v>
      </c>
      <c r="C29" s="1239"/>
      <c r="D29" s="2104" t="s">
        <v>1697</v>
      </c>
      <c r="E29" s="989">
        <f>E30+E31</f>
        <v>5.6000000000000001E-2</v>
      </c>
      <c r="F29" s="1855"/>
      <c r="G29" s="2083"/>
      <c r="H29" s="2754" t="s">
        <v>2892</v>
      </c>
      <c r="I29" s="2755">
        <v>100</v>
      </c>
      <c r="J29" s="2755" t="s">
        <v>2891</v>
      </c>
      <c r="K29" s="2755">
        <v>75</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75</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0.85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-21</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F16" sqref="F16"/>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94.5">
      <c r="A3" s="396" t="s">
        <v>1741</v>
      </c>
      <c r="B3" s="2150" t="s">
        <v>1742</v>
      </c>
      <c r="C3" s="2721" t="s">
        <v>2912</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2914</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2915</v>
      </c>
      <c r="D8" s="2158"/>
      <c r="E8" s="2158"/>
      <c r="F8" s="1248"/>
      <c r="G8" s="1248"/>
      <c r="H8" s="2148"/>
      <c r="I8" s="2148"/>
      <c r="J8" s="2148"/>
      <c r="K8" s="2148"/>
      <c r="L8" s="2148"/>
      <c r="M8" s="2148"/>
      <c r="N8" s="2148"/>
      <c r="O8" s="2148"/>
      <c r="P8" s="2148"/>
      <c r="Q8" s="2148"/>
      <c r="R8" s="2148"/>
    </row>
    <row r="9" spans="1:29" ht="54">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2918</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99.75">
      <c r="A15" s="25" t="s">
        <v>1761</v>
      </c>
      <c r="B15" s="2182" t="s">
        <v>1742</v>
      </c>
      <c r="C15" s="2183" t="str">
        <f>C3</f>
        <v>估价对象周边有新安中里小区、新安南里、恬心家园、建功东里、白纸坊中里、右安西里等居住小区，小区规模和社区发展完善程度较好，综合评价居住社区成熟度较好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99.75">
      <c r="A18" s="630"/>
      <c r="B18" s="2187" t="s">
        <v>1751</v>
      </c>
      <c r="C18" s="52" t="str">
        <f>C6</f>
        <v>估价对象紧邻城市支路——白纸坊街，临近地铁4号线（菜市口站），以估价对象为中心半径2公里范围内有10路、19路、40路、83路、395路等多条公交线路，综合评价交通便捷度较好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57">
      <c r="A20" s="630"/>
      <c r="B20" s="2187" t="s">
        <v>1766</v>
      </c>
      <c r="C20" s="2185" t="str">
        <f>C9</f>
        <v>自然环境：陶然亭公园、北京大观园、万寿公园等；人文环境：古陶文明博物馆等，综合评价环境状况较好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估价对象所在区域基础设施水平——七通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城市支路——白纸坊街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view="pageBreakPreview" zoomScaleNormal="100" zoomScaleSheetLayoutView="100" zoomScalePageLayoutView="80" workbookViewId="0">
      <selection activeCell="F138" sqref="F138"/>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6626381</v>
      </c>
      <c r="D19" s="60">
        <f ca="1">SUMIF(INDIRECT("'"&amp;D4&amp;"'"&amp;"!A:A"),结果表!B19,INDIRECT("'"&amp;D4&amp;"'"&amp;"!B:B"))</f>
        <v>1722079</v>
      </c>
      <c r="E19" s="2212" t="s">
        <v>1797</v>
      </c>
      <c r="F19" s="2213" t="s">
        <v>1796</v>
      </c>
      <c r="G19" s="61">
        <f ca="1">ROUND(C19*$C$18+D19*$D$18,0)</f>
        <v>5645521</v>
      </c>
      <c r="H19" s="2214" t="str">
        <f>'数据-取费表'!B3</f>
        <v>元</v>
      </c>
      <c r="I19" s="2201"/>
    </row>
    <row r="20" spans="1:35" ht="15">
      <c r="A20" s="2215"/>
      <c r="B20" s="2216" t="s">
        <v>1798</v>
      </c>
      <c r="C20" s="62">
        <f ca="1">SUMIF(INDIRECT("'"&amp;C4&amp;"'"&amp;"!A:A"),结果表!B20,INDIRECT("'"&amp;C4&amp;"'"&amp;"!B:B"))</f>
        <v>106705</v>
      </c>
      <c r="D20" s="63">
        <f ca="1">SUMIF(INDIRECT("'"&amp;D4&amp;"'"&amp;"!A:A"),结果表!B20,INDIRECT("'"&amp;D4&amp;"'"&amp;"!B:B"))</f>
        <v>27731</v>
      </c>
      <c r="E20" s="2215"/>
      <c r="F20" s="2216" t="s">
        <v>1798</v>
      </c>
      <c r="G20" s="64">
        <f ca="1">ROUND(C20*$C$18+D20*$D$18,0)</f>
        <v>90910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2.8478960605175487</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90910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83910</v>
      </c>
      <c r="D34" s="1092">
        <f ca="1">IF(D33="自定义",ROUND(C34/C32,3),1-D35)</f>
        <v>0.92300000000000004</v>
      </c>
      <c r="E34" s="2239" t="s">
        <v>1811</v>
      </c>
      <c r="F34" s="1834">
        <v>2000</v>
      </c>
      <c r="G34" s="2201"/>
      <c r="H34" s="2201"/>
      <c r="I34" s="2201"/>
    </row>
    <row r="35" spans="1:16" ht="15.75" hidden="1" thickBot="1">
      <c r="A35" s="2240"/>
      <c r="B35" s="2241" t="s">
        <v>1812</v>
      </c>
      <c r="C35" s="74">
        <f ca="1">IF(D33="自定义",F35,ROUND(C32*D35,0))</f>
        <v>7000</v>
      </c>
      <c r="D35" s="1091">
        <f ca="1">IF(D33="自定义",ROUND(C35/C32,3),IF(D33="成本法成本比率",成本法!C56,IF(D33="收益法收益比率",收益法!J38,收益法!J41)))</f>
        <v>7.6999999999999999E-2</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5645511</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43140</v>
      </c>
      <c r="N47" s="2867"/>
      <c r="O47" s="2867"/>
      <c r="P47" s="1851"/>
    </row>
    <row r="48" spans="1:16" ht="25.5" hidden="1">
      <c r="A48" s="2951" t="s">
        <v>1837</v>
      </c>
      <c r="B48" s="2952"/>
      <c r="C48" s="2952"/>
      <c r="D48" s="56">
        <f ca="1">IF(H48="情况1",0,IF(H48="情况2",D52,IF(H48="情况3",D53,IF(H48="情况4",D54))))</f>
        <v>301094</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5645511</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301094</v>
      </c>
      <c r="E52" s="10" t="s">
        <v>1854</v>
      </c>
      <c r="F52" s="101">
        <f>'数据-取费表'!E29</f>
        <v>5.6000000000000001E-2</v>
      </c>
      <c r="G52" s="2268"/>
      <c r="H52" s="2201"/>
      <c r="I52" s="2266"/>
      <c r="J52" s="1889">
        <v>1</v>
      </c>
      <c r="K52" s="2855" t="s">
        <v>1855</v>
      </c>
      <c r="L52" s="2855"/>
      <c r="M52" s="779">
        <f ca="1">D48</f>
        <v>301094</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301094</v>
      </c>
      <c r="E53" s="10" t="s">
        <v>1854</v>
      </c>
      <c r="F53" s="101">
        <f>'数据-取费表'!E29</f>
        <v>5.6000000000000001E-2</v>
      </c>
      <c r="G53" s="2268"/>
      <c r="H53" s="2201"/>
      <c r="I53" s="2266"/>
      <c r="J53" s="1889">
        <v>2</v>
      </c>
      <c r="K53" s="2855" t="s">
        <v>1858</v>
      </c>
      <c r="L53" s="2855"/>
      <c r="M53" s="779">
        <f t="shared" ref="M53:O54" ca="1" si="1">D55</f>
        <v>2823</v>
      </c>
      <c r="N53" s="1889" t="str">
        <f t="shared" si="1"/>
        <v>销售额×税（费）率</v>
      </c>
      <c r="O53" s="780">
        <f t="shared" si="1"/>
        <v>5.0000000000000001E-4</v>
      </c>
      <c r="P53" s="1851"/>
    </row>
    <row r="54" spans="1:16" ht="12" hidden="1" customHeight="1">
      <c r="A54" s="100" t="s">
        <v>1859</v>
      </c>
      <c r="B54" s="2931" t="s">
        <v>1860</v>
      </c>
      <c r="C54" s="2823"/>
      <c r="D54" s="99">
        <f ca="1">C68</f>
        <v>301094</v>
      </c>
      <c r="E54" s="20" t="s">
        <v>1861</v>
      </c>
      <c r="F54" s="101">
        <f>'数据-取费表'!E29</f>
        <v>5.6000000000000001E-2</v>
      </c>
      <c r="G54" s="2268"/>
      <c r="H54" s="2269"/>
      <c r="I54" s="2266"/>
      <c r="J54" s="1889">
        <v>3</v>
      </c>
      <c r="K54" s="2855" t="s">
        <v>1862</v>
      </c>
      <c r="L54" s="2855"/>
      <c r="M54" s="779">
        <f t="shared" ca="1" si="1"/>
        <v>3195359</v>
      </c>
      <c r="N54" s="1889" t="str">
        <f t="shared" si="1"/>
        <v>增值额×税（费）率</v>
      </c>
      <c r="O54" s="781" t="str">
        <f t="shared" si="1"/>
        <v>——</v>
      </c>
      <c r="P54" s="1851"/>
    </row>
    <row r="55" spans="1:16" ht="24" hidden="1" customHeight="1">
      <c r="A55" s="2815" t="s">
        <v>1863</v>
      </c>
      <c r="B55" s="2952"/>
      <c r="C55" s="2952"/>
      <c r="D55" s="102">
        <f ca="1">IF(H55="个人住宅",0,ROUND(D45*I55,0))</f>
        <v>2823</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56455</v>
      </c>
      <c r="N55" s="1892" t="str">
        <f>E59</f>
        <v>销售额×税（费）率</v>
      </c>
      <c r="O55" s="783">
        <f>F59</f>
        <v>0.01</v>
      </c>
      <c r="P55" s="1851"/>
    </row>
    <row r="56" spans="1:16" ht="24.75" hidden="1">
      <c r="A56" s="2815" t="s">
        <v>1866</v>
      </c>
      <c r="B56" s="2952"/>
      <c r="C56" s="2952"/>
      <c r="D56" s="102">
        <f ca="1">IF(H56="个人住宅",D57,D58)</f>
        <v>3195359</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3555731</v>
      </c>
      <c r="O57" s="2273"/>
      <c r="P57" s="1847" t="e">
        <f ca="1">N57/M49</f>
        <v>#VALUE!</v>
      </c>
    </row>
    <row r="58" spans="1:16" ht="24.75" hidden="1">
      <c r="A58" s="100" t="s">
        <v>1852</v>
      </c>
      <c r="B58" s="2940" t="s">
        <v>1872</v>
      </c>
      <c r="C58" s="2941"/>
      <c r="D58" s="102">
        <f ca="1">IF(H58="转让取得",C81,C97)</f>
        <v>3195359</v>
      </c>
      <c r="E58" s="10" t="s">
        <v>1867</v>
      </c>
      <c r="F58" s="14" t="s">
        <v>48</v>
      </c>
      <c r="G58" s="2268"/>
      <c r="H58" s="2271" t="s">
        <v>1873</v>
      </c>
      <c r="I58" s="1023"/>
      <c r="J58" s="2855"/>
      <c r="K58" s="2855"/>
      <c r="L58" s="2272" t="s">
        <v>1874</v>
      </c>
      <c r="M58" s="786"/>
      <c r="N58" s="2274" t="str">
        <f ca="1">IF(H19="元",NUMBERSTRING(INT(N57),2)&amp;"元整",NUMBERSTRING(INT(N57*10000),2)&amp;"元整")</f>
        <v>叁佰伍拾伍万伍仟柒佰叁拾壹元整</v>
      </c>
      <c r="O58" s="2275"/>
      <c r="P58" s="1851"/>
    </row>
    <row r="59" spans="1:16" ht="26.25" hidden="1" thickBot="1">
      <c r="A59" s="2816" t="s">
        <v>1875</v>
      </c>
      <c r="B59" s="2819"/>
      <c r="C59" s="2819"/>
      <c r="D59" s="105">
        <f ca="1">IF(H59="非个人房产","——",IF(H59="个人住宅",0,ROUND(D45*I59,0)))</f>
        <v>56455</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5376677</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5645511</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5376677</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301094</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5376677</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32260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32260</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5344417</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165.66698698078116</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3195359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5376677</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32260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32260</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5344417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165.66698698078116</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3195359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6626381</v>
      </c>
      <c r="D101" s="722">
        <f ca="1">D19</f>
        <v>1722079</v>
      </c>
      <c r="E101" s="2201"/>
      <c r="F101" s="2899" t="str">
        <f>项目基本情况!I1</f>
        <v>房地产</v>
      </c>
      <c r="G101" s="2901"/>
      <c r="H101" s="2960">
        <f>项目基本情况!C12</f>
        <v>62.1</v>
      </c>
      <c r="I101" s="2900"/>
    </row>
    <row r="102" spans="1:35" ht="15.75" hidden="1">
      <c r="A102" s="2919"/>
      <c r="B102" s="2296" t="s">
        <v>1940</v>
      </c>
      <c r="C102" s="723">
        <f ca="1">C20</f>
        <v>106705</v>
      </c>
      <c r="D102" s="724">
        <f ca="1">D20</f>
        <v>27731</v>
      </c>
      <c r="E102" s="2201"/>
      <c r="F102" s="2974" t="s">
        <v>1941</v>
      </c>
      <c r="G102" s="2975"/>
      <c r="H102" s="2297" t="str">
        <f>C106</f>
        <v>总价（元）</v>
      </c>
      <c r="I102" s="1868">
        <f ca="1">H121</f>
        <v>5645511</v>
      </c>
    </row>
    <row r="103" spans="1:35" ht="15" hidden="1">
      <c r="A103" s="2919" t="s">
        <v>1942</v>
      </c>
      <c r="B103" s="2298" t="str">
        <f>B101</f>
        <v>总价（元）</v>
      </c>
      <c r="C103" s="725">
        <f ca="1">H121</f>
        <v>5645511</v>
      </c>
      <c r="D103" s="726"/>
      <c r="E103" s="2201"/>
      <c r="F103" s="2974"/>
      <c r="G103" s="2975"/>
      <c r="H103" s="2297" t="s">
        <v>1940</v>
      </c>
      <c r="I103" s="1051">
        <f ca="1">I121</f>
        <v>90910</v>
      </c>
    </row>
    <row r="104" spans="1:35" ht="16.5" hidden="1" thickBot="1">
      <c r="A104" s="2920"/>
      <c r="B104" s="2299" t="s">
        <v>1940</v>
      </c>
      <c r="C104" s="727">
        <f ca="1">I121</f>
        <v>90910</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5645511</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90910</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5645511</v>
      </c>
    </row>
    <row r="111" spans="1:35" ht="15" hidden="1">
      <c r="A111" s="2888" t="s">
        <v>1949</v>
      </c>
      <c r="B111" s="2889"/>
      <c r="C111" s="2300" t="str">
        <f>C108</f>
        <v>总额（元）</v>
      </c>
      <c r="D111" s="638">
        <f>C38</f>
        <v>0</v>
      </c>
      <c r="E111" s="2201"/>
      <c r="F111" s="2870"/>
      <c r="G111" s="2871"/>
      <c r="H111" s="2297" t="s">
        <v>1940</v>
      </c>
      <c r="I111" s="2303">
        <f ca="1">D113</f>
        <v>90910</v>
      </c>
    </row>
    <row r="112" spans="1:35" ht="26.25" hidden="1" customHeight="1">
      <c r="A112" s="2927" t="str">
        <f>IF(项目基本情况!F5="已注销","——","3.房地产抵押价值")</f>
        <v>3.房地产抵押价值</v>
      </c>
      <c r="B112" s="2928"/>
      <c r="C112" s="2297" t="str">
        <f>B101</f>
        <v>总价（元）</v>
      </c>
      <c r="D112" s="1052">
        <f ca="1">IF(A112="——","——",D106-D108)</f>
        <v>5645511</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90910</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62.1</v>
      </c>
      <c r="C121" s="1893">
        <f>项目基本情况!C13</f>
        <v>0</v>
      </c>
      <c r="D121" s="1893">
        <f ca="1">ROUND(IF(B32="总价",C34,IF('数据-取费表'!B3="万元",E121*B121/10000,E121*B121)),0)</f>
        <v>5210811</v>
      </c>
      <c r="E121" s="1893">
        <f ca="1">ROUND(IF(B32="楼面单价",C34,IF(H19="元",D121/B121,D121*10000/B121)),0)</f>
        <v>83910</v>
      </c>
      <c r="F121" s="1893">
        <f ca="1">ROUND(IF(B32="总价",C35,IF('数据-取费表'!B3="万元",G121*B121/10000,G121*B121)),0)</f>
        <v>434700</v>
      </c>
      <c r="G121" s="1893">
        <f ca="1">ROUND(IF(B32="楼面单价",C35,IF(H19="元",F121/B121,F121*10000/B121)),0)</f>
        <v>7000</v>
      </c>
      <c r="H121" s="1893">
        <f ca="1">ROUND(IF(B32="总价",C32,IF('数据-取费表'!B3="万元",I121*B121/10000,I121*B121)),0)</f>
        <v>5645511</v>
      </c>
      <c r="I121" s="638">
        <f ca="1">ROUND(IF(B32="楼面单价",C32,IF(H19="元",H121/B121,H121*10000/B121)),0)</f>
        <v>90910</v>
      </c>
    </row>
    <row r="122" spans="1:15" ht="14.25" hidden="1">
      <c r="A122" s="2879" t="s">
        <v>1959</v>
      </c>
      <c r="B122" s="2875"/>
      <c r="C122" s="2875"/>
      <c r="D122" s="2911" t="str">
        <f ca="1">IF(H19="元",NUMBERSTRING(INT(D121),2)&amp;"元整",NUMBERSTRING(INT(D121*10000),2)&amp;"元整")</f>
        <v>伍佰贰拾壹万零捌佰壹拾壹元整</v>
      </c>
      <c r="E122" s="2912"/>
      <c r="F122" s="2911" t="str">
        <f ca="1">IF(H19="元",NUMBERSTRING(INT(F121),2)&amp;"元整",NUMBERSTRING(INT(F121*10000),2)&amp;"元整")</f>
        <v>肆拾叁万肆仟柒佰元整</v>
      </c>
      <c r="G122" s="2912"/>
      <c r="H122" s="2911" t="str">
        <f ca="1">IF(H19="元",NUMBERSTRING(INT(H121),2)&amp;"元整",NUMBERSTRING(INT(H121*10000),2)&amp;"元整")</f>
        <v>伍佰陆拾肆万伍仟伍佰壹拾壹元整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5645511</v>
      </c>
      <c r="E125" s="2914"/>
      <c r="F125" s="2914"/>
      <c r="G125" s="2914"/>
      <c r="H125" s="2914"/>
      <c r="I125" s="2963"/>
    </row>
    <row r="126" spans="1:15" ht="14.25" hidden="1">
      <c r="A126" s="2879" t="s">
        <v>1959</v>
      </c>
      <c r="B126" s="2875"/>
      <c r="C126" s="2875"/>
      <c r="D126" s="2964">
        <f ca="1">I111</f>
        <v>90910</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81819</v>
      </c>
      <c r="F134" s="2309">
        <f ca="1">G20</f>
        <v>90910</v>
      </c>
      <c r="G134" s="2309"/>
      <c r="H134" s="2310"/>
      <c r="I134" s="2311"/>
    </row>
    <row r="135" spans="1:9" ht="21.75" hidden="1" customHeight="1">
      <c r="A135" s="2312">
        <v>2</v>
      </c>
      <c r="B135" s="2313"/>
      <c r="C135" s="2313"/>
      <c r="D135" s="2309"/>
      <c r="E135" s="2309">
        <f>'数据-取费表'!B5-结果表!F135</f>
        <v>59.19</v>
      </c>
      <c r="F135" s="2309">
        <v>2.91</v>
      </c>
      <c r="G135" s="2739" t="s">
        <v>2874</v>
      </c>
      <c r="H135" s="2740" t="s">
        <v>2875</v>
      </c>
      <c r="I135" s="2311"/>
    </row>
    <row r="136" spans="1:9" ht="21.75" hidden="1" customHeight="1">
      <c r="A136" s="2312">
        <v>3</v>
      </c>
      <c r="B136" s="2313"/>
      <c r="C136" s="2313"/>
      <c r="D136" s="2309"/>
      <c r="E136" s="2309">
        <f ca="1">ROUND(E134*E135,0)</f>
        <v>4842867</v>
      </c>
      <c r="F136" s="2309">
        <f ca="1">ROUND(F134*F135,0)</f>
        <v>264548</v>
      </c>
      <c r="G136" s="2741">
        <f ca="1">E136+F136</f>
        <v>5107415</v>
      </c>
      <c r="H136" s="2741">
        <f ca="1">ROUND(G136/项目基本情况!C12,0)</f>
        <v>82245</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43140</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1608143</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25896</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4968</v>
      </c>
      <c r="D9" s="1540">
        <f>IF('数据-取费表'!B10="住宅",IF(B1="仅计算典型户型",'数据-取费表'!E5,'数据-取费表'!B5),0)</f>
        <v>62.1</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62.1</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1475266</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134819</v>
      </c>
      <c r="D33" s="184"/>
      <c r="E33" s="1534"/>
      <c r="F33" s="192"/>
      <c r="G33" s="185"/>
    </row>
    <row r="34" spans="1:7" s="207" customFormat="1" ht="13.5" customHeight="1">
      <c r="A34" s="177" t="s">
        <v>2045</v>
      </c>
      <c r="B34" s="178" t="s">
        <v>2067</v>
      </c>
      <c r="C34" s="200">
        <f>IF(B1="仅计算典型户型",'数据-取费表'!F18,'数据-取费表'!E18)</f>
        <v>111780</v>
      </c>
      <c r="D34" s="1535"/>
      <c r="E34" s="200"/>
      <c r="F34" s="1546" t="str">
        <f>IF('数据-取费表'!B25=0,"",'数据-取费表'!E20)</f>
        <v/>
      </c>
      <c r="G34" s="180"/>
    </row>
    <row r="35" spans="1:7" ht="13.5" customHeight="1">
      <c r="A35" s="177" t="s">
        <v>2019</v>
      </c>
      <c r="B35" s="178" t="s">
        <v>2068</v>
      </c>
      <c r="C35" s="200">
        <f>ROUND(C34*F35,0)</f>
        <v>3353</v>
      </c>
      <c r="D35" s="200"/>
      <c r="E35" s="200"/>
      <c r="F35" s="1547">
        <f>'数据-取费表'!E21</f>
        <v>0.03</v>
      </c>
      <c r="G35" s="180" t="s">
        <v>2069</v>
      </c>
    </row>
    <row r="36" spans="1:7" ht="24">
      <c r="A36" s="177" t="s">
        <v>2021</v>
      </c>
      <c r="B36" s="178" t="s">
        <v>2070</v>
      </c>
      <c r="C36" s="200">
        <f>ROUND(IF('数据-取费表'!B10="住宅",C34*F36,0),0)</f>
        <v>5589</v>
      </c>
      <c r="D36" s="200"/>
      <c r="E36" s="200"/>
      <c r="F36" s="1547">
        <f>'数据-取费表'!E22</f>
        <v>0.05</v>
      </c>
      <c r="G36" s="208" t="s">
        <v>2071</v>
      </c>
    </row>
    <row r="37" spans="1:7" s="207" customFormat="1" ht="13.5" customHeight="1">
      <c r="A37" s="177" t="s">
        <v>2052</v>
      </c>
      <c r="B37" s="178" t="s">
        <v>2072</v>
      </c>
      <c r="C37" s="200">
        <f>ROUND(E37*D37,0)</f>
        <v>12420</v>
      </c>
      <c r="D37" s="1535">
        <f>IF(B1="仅计算典型户型",'数据-取费表'!E5,'数据-取费表'!B5)</f>
        <v>62.1</v>
      </c>
      <c r="E37" s="200">
        <f>'数据-取费表'!E23</f>
        <v>200</v>
      </c>
      <c r="F37" s="1547"/>
      <c r="G37" s="209" t="s">
        <v>2073</v>
      </c>
    </row>
    <row r="38" spans="1:7" ht="13.5" customHeight="1">
      <c r="A38" s="177" t="s">
        <v>2074</v>
      </c>
      <c r="B38" s="178" t="s">
        <v>2075</v>
      </c>
      <c r="C38" s="200">
        <f>ROUND(C34*F38,0)</f>
        <v>1677</v>
      </c>
      <c r="D38" s="200"/>
      <c r="E38" s="200"/>
      <c r="F38" s="1547">
        <f>'数据-取费表'!E24</f>
        <v>1.4999999999999999E-2</v>
      </c>
      <c r="G38" s="180" t="s">
        <v>2069</v>
      </c>
    </row>
    <row r="39" spans="1:7" s="176" customFormat="1" ht="13.5" customHeight="1">
      <c r="A39" s="205" t="s">
        <v>2034</v>
      </c>
      <c r="B39" s="174" t="s">
        <v>2037</v>
      </c>
      <c r="C39" s="184">
        <f>ROUND(C33*F20,0)</f>
        <v>2696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2991</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2932</v>
      </c>
      <c r="D42" s="189"/>
      <c r="E42" s="189"/>
      <c r="F42" s="190"/>
      <c r="G42" s="2992" t="s">
        <v>2079</v>
      </c>
    </row>
    <row r="43" spans="1:7" ht="13.5" customHeight="1">
      <c r="A43" s="177" t="s">
        <v>2019</v>
      </c>
      <c r="B43" s="178" t="s">
        <v>2048</v>
      </c>
      <c r="C43" s="189">
        <f ca="1">ROUND(IF('数据-取费表'!B23&lt;=1,C39*F22*'数据-取费表'!B22/2,C39*(POWER((1+F22),'数据-取费表'!B22/2)-1)),0)</f>
        <v>59</v>
      </c>
      <c r="D43" s="189"/>
      <c r="E43" s="189"/>
      <c r="F43" s="190"/>
      <c r="G43" s="2993"/>
    </row>
    <row r="44" spans="1:7" ht="13.5" customHeight="1">
      <c r="A44" s="177" t="s">
        <v>2021</v>
      </c>
      <c r="B44" s="178" t="s">
        <v>2050</v>
      </c>
      <c r="C44" s="189">
        <f ca="1">ROUND(IF('数据-取费表'!B23&lt;=1,C40*F22*'数据-取费表'!B22/2,C40*(POWER((1+F22),'数据-取费表'!B22/2)-1)),4)</f>
        <v>4.0000000000000002E-4</v>
      </c>
      <c r="D44" s="189"/>
      <c r="E44" s="189"/>
      <c r="F44" s="190"/>
      <c r="G44" s="2994"/>
    </row>
    <row r="45" spans="1:7" s="176" customFormat="1" ht="13.5" customHeight="1">
      <c r="A45" s="205" t="s">
        <v>2043</v>
      </c>
      <c r="B45" s="195" t="s">
        <v>2055</v>
      </c>
      <c r="C45" s="196">
        <f>C46</f>
        <v>34379</v>
      </c>
      <c r="D45" s="186">
        <f>C47</f>
        <v>5.0000000000000001E-3</v>
      </c>
      <c r="E45" s="187" t="s">
        <v>2077</v>
      </c>
      <c r="F45" s="197"/>
      <c r="G45" s="198" t="s">
        <v>2080</v>
      </c>
    </row>
    <row r="46" spans="1:7" s="176" customFormat="1" ht="13.5" customHeight="1">
      <c r="A46" s="177" t="s">
        <v>2045</v>
      </c>
      <c r="B46" s="199" t="s">
        <v>2081</v>
      </c>
      <c r="C46" s="200">
        <f>ROUND((C33+C39)*F27,0)</f>
        <v>34379</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189824</v>
      </c>
      <c r="D49" s="184"/>
      <c r="E49" s="184"/>
      <c r="F49" s="211"/>
      <c r="G49" s="185" t="s">
        <v>2087</v>
      </c>
    </row>
    <row r="50" spans="1:7" s="207" customFormat="1" ht="24">
      <c r="A50" s="1307" t="s">
        <v>2088</v>
      </c>
      <c r="B50" s="174" t="s">
        <v>2089</v>
      </c>
      <c r="C50" s="184"/>
      <c r="D50" s="184"/>
      <c r="E50" s="184"/>
      <c r="F50" s="211">
        <f>IF('数据-取费表'!B25=0,'数据-取费表'!E20,1)</f>
        <v>0.7</v>
      </c>
      <c r="G50" s="198" t="s">
        <v>2090</v>
      </c>
    </row>
    <row r="51" spans="1:7" ht="16.5" customHeight="1">
      <c r="A51" s="1307" t="s">
        <v>2091</v>
      </c>
      <c r="B51" s="174" t="s">
        <v>2092</v>
      </c>
      <c r="C51" s="184">
        <f ca="1">ROUND(C49*F50,0)</f>
        <v>132877</v>
      </c>
      <c r="D51" s="184"/>
      <c r="E51" s="184"/>
      <c r="F51" s="211"/>
      <c r="G51" s="185" t="s">
        <v>2093</v>
      </c>
    </row>
    <row r="52" spans="1:7" s="173" customFormat="1" ht="16.5" thickBot="1">
      <c r="A52" s="212" t="s">
        <v>2094</v>
      </c>
      <c r="B52" s="213"/>
      <c r="C52" s="214">
        <f ca="1">C31+C51</f>
        <v>1608143</v>
      </c>
      <c r="D52" s="213"/>
      <c r="E52" s="213"/>
      <c r="F52" s="213"/>
      <c r="G52" s="215"/>
    </row>
    <row r="55" spans="1:7" ht="15">
      <c r="B55" s="217" t="s">
        <v>2095</v>
      </c>
      <c r="C55" s="218"/>
    </row>
    <row r="56" spans="1:7">
      <c r="B56" s="220" t="s">
        <v>2096</v>
      </c>
      <c r="C56" s="221">
        <f ca="1">ROUND(C51/C52,3)</f>
        <v>8.3000000000000004E-2</v>
      </c>
    </row>
    <row r="57" spans="1:7">
      <c r="B57" s="220" t="s">
        <v>2097</v>
      </c>
      <c r="C57" s="222">
        <f ca="1">1-C56</f>
        <v>0.91700000000000004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0.30000000000000004</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5" t="s">
        <v>1025</v>
      </c>
      <c r="B1" s="2996"/>
      <c r="C1" s="2997"/>
      <c r="D1" s="2998">
        <f>SUM(I10,I15,I20,I21,I23)</f>
        <v>0</v>
      </c>
      <c r="E1" s="2998"/>
      <c r="F1" s="2998"/>
      <c r="G1" s="2998"/>
      <c r="H1" s="2998"/>
      <c r="I1" s="2999"/>
    </row>
    <row r="2" spans="1:9">
      <c r="A2" s="3000" t="s">
        <v>1026</v>
      </c>
      <c r="B2" s="3001" t="s">
        <v>975</v>
      </c>
      <c r="C2" s="3001"/>
      <c r="D2" s="1391" t="s">
        <v>976</v>
      </c>
      <c r="E2" s="1391" t="s">
        <v>977</v>
      </c>
      <c r="F2" s="1391" t="s">
        <v>978</v>
      </c>
      <c r="G2" s="1391" t="s">
        <v>979</v>
      </c>
      <c r="H2" s="1391" t="s">
        <v>980</v>
      </c>
      <c r="I2" s="1392" t="s">
        <v>981</v>
      </c>
    </row>
    <row r="3" spans="1:9">
      <c r="A3" s="3000"/>
      <c r="B3" s="3001" t="s">
        <v>982</v>
      </c>
      <c r="C3" s="3001"/>
      <c r="D3" s="1393"/>
      <c r="E3" s="1391"/>
      <c r="F3" s="1394"/>
      <c r="G3" s="1394"/>
      <c r="H3" s="1395"/>
      <c r="I3" s="1396">
        <f>ROUND(D3*E3*F3*G3*H3/10000,0)</f>
        <v>0</v>
      </c>
    </row>
    <row r="4" spans="1:9">
      <c r="A4" s="3000"/>
      <c r="B4" s="3001" t="s">
        <v>983</v>
      </c>
      <c r="C4" s="3001"/>
      <c r="D4" s="1393"/>
      <c r="E4" s="1391"/>
      <c r="F4" s="1394"/>
      <c r="G4" s="1394"/>
      <c r="H4" s="1395"/>
      <c r="I4" s="1396">
        <f t="shared" ref="I4:I9" si="0">ROUND(D4*E4*F4*G4*H4/10000,0)</f>
        <v>0</v>
      </c>
    </row>
    <row r="5" spans="1:9">
      <c r="A5" s="3000"/>
      <c r="B5" s="3001" t="s">
        <v>984</v>
      </c>
      <c r="C5" s="3001"/>
      <c r="D5" s="1393"/>
      <c r="E5" s="1391"/>
      <c r="F5" s="1394"/>
      <c r="G5" s="1394"/>
      <c r="H5" s="1395"/>
      <c r="I5" s="1396">
        <f t="shared" si="0"/>
        <v>0</v>
      </c>
    </row>
    <row r="6" spans="1:9">
      <c r="A6" s="3000"/>
      <c r="B6" s="3001" t="s">
        <v>985</v>
      </c>
      <c r="C6" s="3001"/>
      <c r="D6" s="1393"/>
      <c r="E6" s="1391"/>
      <c r="F6" s="1394"/>
      <c r="G6" s="1394"/>
      <c r="H6" s="1395"/>
      <c r="I6" s="1396">
        <f t="shared" si="0"/>
        <v>0</v>
      </c>
    </row>
    <row r="7" spans="1:9">
      <c r="A7" s="3000"/>
      <c r="B7" s="3001" t="s">
        <v>986</v>
      </c>
      <c r="C7" s="3001"/>
      <c r="D7" s="1393"/>
      <c r="E7" s="1391"/>
      <c r="F7" s="1394"/>
      <c r="G7" s="1394"/>
      <c r="H7" s="1395"/>
      <c r="I7" s="1396">
        <f t="shared" si="0"/>
        <v>0</v>
      </c>
    </row>
    <row r="8" spans="1:9">
      <c r="A8" s="3000"/>
      <c r="B8" s="3001" t="s">
        <v>987</v>
      </c>
      <c r="C8" s="3001"/>
      <c r="D8" s="1393"/>
      <c r="E8" s="1391"/>
      <c r="F8" s="1394"/>
      <c r="G8" s="1394"/>
      <c r="H8" s="1395"/>
      <c r="I8" s="1396">
        <f t="shared" si="0"/>
        <v>0</v>
      </c>
    </row>
    <row r="9" spans="1:9">
      <c r="A9" s="3000"/>
      <c r="B9" s="3001" t="s">
        <v>988</v>
      </c>
      <c r="C9" s="3001"/>
      <c r="D9" s="1393"/>
      <c r="E9" s="1391"/>
      <c r="F9" s="1394"/>
      <c r="G9" s="1394"/>
      <c r="H9" s="1395"/>
      <c r="I9" s="1396">
        <f t="shared" si="0"/>
        <v>0</v>
      </c>
    </row>
    <row r="10" spans="1:9">
      <c r="A10" s="3000"/>
      <c r="B10" s="3002" t="s">
        <v>989</v>
      </c>
      <c r="C10" s="3002"/>
      <c r="D10" s="1397">
        <v>527</v>
      </c>
      <c r="E10" s="1397" t="e">
        <f>ROUND(D1*10000/D10/H9,0)</f>
        <v>#DIV/0!</v>
      </c>
      <c r="F10" s="1398"/>
      <c r="G10" s="1398"/>
      <c r="H10" s="1399"/>
      <c r="I10" s="1400">
        <f>SUM(I3:I9)</f>
        <v>0</v>
      </c>
    </row>
    <row r="11" spans="1:9" ht="14.25">
      <c r="A11" s="3000" t="s">
        <v>1027</v>
      </c>
      <c r="B11" s="3001" t="s">
        <v>990</v>
      </c>
      <c r="C11" s="3001"/>
      <c r="D11" s="1393" t="s">
        <v>991</v>
      </c>
      <c r="E11" s="1393" t="s">
        <v>992</v>
      </c>
      <c r="F11" s="1394" t="s">
        <v>993</v>
      </c>
      <c r="G11" s="1394" t="s">
        <v>980</v>
      </c>
      <c r="H11" s="1401" t="s">
        <v>994</v>
      </c>
      <c r="I11" s="1392" t="s">
        <v>981</v>
      </c>
    </row>
    <row r="12" spans="1:9">
      <c r="A12" s="3000"/>
      <c r="B12" s="3001" t="s">
        <v>995</v>
      </c>
      <c r="C12" s="3001"/>
      <c r="D12" s="1393"/>
      <c r="E12" s="1393"/>
      <c r="F12" s="1394"/>
      <c r="G12" s="1395"/>
      <c r="H12" s="1402"/>
      <c r="I12" s="1392">
        <f>ROUND(D12*E12*F12*G12/10000,0)</f>
        <v>0</v>
      </c>
    </row>
    <row r="13" spans="1:9">
      <c r="A13" s="3000"/>
      <c r="B13" s="3001" t="s">
        <v>996</v>
      </c>
      <c r="C13" s="3001"/>
      <c r="D13" s="1393"/>
      <c r="E13" s="1393"/>
      <c r="F13" s="1394"/>
      <c r="G13" s="1395"/>
      <c r="H13" s="1402"/>
      <c r="I13" s="1392">
        <f>ROUND(D13*E13*F13*G13/10000,0)</f>
        <v>0</v>
      </c>
    </row>
    <row r="14" spans="1:9">
      <c r="A14" s="3000"/>
      <c r="B14" s="3001" t="s">
        <v>997</v>
      </c>
      <c r="C14" s="3001"/>
      <c r="D14" s="1393"/>
      <c r="E14" s="1393"/>
      <c r="F14" s="1394"/>
      <c r="G14" s="1395"/>
      <c r="H14" s="1402"/>
      <c r="I14" s="1392">
        <f>ROUND(D14*E14*F14*G14/10000,0)</f>
        <v>0</v>
      </c>
    </row>
    <row r="15" spans="1:9">
      <c r="A15" s="3000"/>
      <c r="B15" s="3002" t="s">
        <v>989</v>
      </c>
      <c r="C15" s="3002"/>
      <c r="D15" s="1397"/>
      <c r="E15" s="1397">
        <f>SUM(E12:E14)</f>
        <v>0</v>
      </c>
      <c r="F15" s="1398"/>
      <c r="G15" s="1395"/>
      <c r="H15" s="1402"/>
      <c r="I15" s="1403">
        <f>SUM(I12:I14)</f>
        <v>0</v>
      </c>
    </row>
    <row r="16" spans="1:9" ht="24">
      <c r="A16" s="3000" t="s">
        <v>1028</v>
      </c>
      <c r="B16" s="3001" t="s">
        <v>998</v>
      </c>
      <c r="C16" s="3001"/>
      <c r="D16" s="1393" t="s">
        <v>976</v>
      </c>
      <c r="E16" s="1404" t="s">
        <v>999</v>
      </c>
      <c r="F16" s="1394" t="s">
        <v>1000</v>
      </c>
      <c r="G16" s="1395" t="s">
        <v>980</v>
      </c>
      <c r="H16" s="1401" t="s">
        <v>994</v>
      </c>
      <c r="I16" s="1392" t="s">
        <v>981</v>
      </c>
    </row>
    <row r="17" spans="1:9" ht="14.25">
      <c r="A17" s="3000"/>
      <c r="B17" s="3001" t="s">
        <v>1001</v>
      </c>
      <c r="C17" s="3001"/>
      <c r="D17" s="1393"/>
      <c r="E17" s="1393"/>
      <c r="F17" s="1394"/>
      <c r="G17" s="1395"/>
      <c r="H17" s="1405"/>
      <c r="I17" s="1406">
        <f>ROUND(D17*E17*F17*G17/10000,0)</f>
        <v>0</v>
      </c>
    </row>
    <row r="18" spans="1:9" ht="14.25">
      <c r="A18" s="3000"/>
      <c r="B18" s="3001" t="s">
        <v>1002</v>
      </c>
      <c r="C18" s="3001"/>
      <c r="D18" s="1393"/>
      <c r="E18" s="1393"/>
      <c r="F18" s="1394"/>
      <c r="G18" s="1395"/>
      <c r="H18" s="1405"/>
      <c r="I18" s="1406">
        <f>ROUND(D18*E18*F18*G18/10000,0)</f>
        <v>0</v>
      </c>
    </row>
    <row r="19" spans="1:9" ht="14.25">
      <c r="A19" s="3000"/>
      <c r="B19" s="3001" t="s">
        <v>1003</v>
      </c>
      <c r="C19" s="3001"/>
      <c r="D19" s="1393"/>
      <c r="E19" s="1393"/>
      <c r="F19" s="1394"/>
      <c r="G19" s="1395"/>
      <c r="H19" s="1405"/>
      <c r="I19" s="1406">
        <f>ROUND(D19*E19*F19*G19/10000,0)</f>
        <v>0</v>
      </c>
    </row>
    <row r="20" spans="1:9">
      <c r="A20" s="3000"/>
      <c r="B20" s="3002" t="s">
        <v>989</v>
      </c>
      <c r="C20" s="3002"/>
      <c r="D20" s="1397">
        <f>SUM(D17:D19)</f>
        <v>0</v>
      </c>
      <c r="E20" s="1397"/>
      <c r="F20" s="1398"/>
      <c r="G20" s="1395"/>
      <c r="H20" s="1402"/>
      <c r="I20" s="1403">
        <f>SUM(I17:I19)</f>
        <v>0</v>
      </c>
    </row>
    <row r="21" spans="1:9">
      <c r="A21" s="3000" t="s">
        <v>1029</v>
      </c>
      <c r="B21" s="3004"/>
      <c r="C21" s="3004"/>
      <c r="D21" s="3004"/>
      <c r="E21" s="3004"/>
      <c r="F21" s="3004"/>
      <c r="G21" s="3004"/>
      <c r="H21" s="1407">
        <v>0.1</v>
      </c>
      <c r="I21" s="1400">
        <f>ROUND(I10*H21,0)</f>
        <v>0</v>
      </c>
    </row>
    <row r="22" spans="1:9" ht="14.25">
      <c r="A22" s="3005" t="s">
        <v>1030</v>
      </c>
      <c r="B22" s="3006"/>
      <c r="C22" s="3007"/>
      <c r="D22" s="1408" t="s">
        <v>1004</v>
      </c>
      <c r="E22" s="1408" t="s">
        <v>1005</v>
      </c>
      <c r="F22" s="1409" t="s">
        <v>980</v>
      </c>
      <c r="G22" s="1409" t="s">
        <v>1006</v>
      </c>
      <c r="H22" s="1401" t="s">
        <v>994</v>
      </c>
      <c r="I22" s="1392" t="s">
        <v>981</v>
      </c>
    </row>
    <row r="23" spans="1:9" ht="14.25" thickBot="1">
      <c r="A23" s="3008"/>
      <c r="B23" s="3009"/>
      <c r="C23" s="3010"/>
      <c r="D23" s="1410"/>
      <c r="E23" s="1410"/>
      <c r="F23" s="1410"/>
      <c r="G23" s="1411"/>
      <c r="H23" s="1412"/>
      <c r="I23" s="1413">
        <f>ROUND(E23*D23*F23*(1-G23)/10000,0)</f>
        <v>0</v>
      </c>
    </row>
    <row r="26" spans="1:9">
      <c r="A26" s="1414" t="s">
        <v>1007</v>
      </c>
      <c r="B26" s="1414"/>
      <c r="C26" s="1414"/>
      <c r="D26" s="1414"/>
      <c r="E26" s="3011">
        <f>C27-C30-C31-C32</f>
        <v>0</v>
      </c>
      <c r="F26" s="3011"/>
      <c r="G26" s="3011"/>
      <c r="H26" s="1835" t="s">
        <v>1223</v>
      </c>
    </row>
    <row r="27" spans="1:9">
      <c r="A27" s="1415">
        <v>1</v>
      </c>
      <c r="B27" s="1416" t="s">
        <v>1008</v>
      </c>
      <c r="C27" s="1416">
        <f>C28+C29</f>
        <v>0</v>
      </c>
      <c r="D27" s="1416"/>
      <c r="E27" s="3012"/>
      <c r="F27" s="3012"/>
      <c r="G27" s="3012"/>
    </row>
    <row r="28" spans="1:9">
      <c r="A28" s="1417" t="s">
        <v>1009</v>
      </c>
      <c r="B28" s="1416" t="s">
        <v>1010</v>
      </c>
      <c r="C28" s="1416"/>
      <c r="D28" s="1416"/>
      <c r="E28" s="3012"/>
      <c r="F28" s="3012"/>
      <c r="G28" s="3012"/>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3"/>
      <c r="F32" s="3003"/>
      <c r="G32" s="3003"/>
    </row>
    <row r="33" spans="1:7" hidden="1">
      <c r="A33" s="3013" t="s">
        <v>1019</v>
      </c>
      <c r="B33" s="3014"/>
      <c r="C33" s="3014"/>
      <c r="D33" s="3015"/>
      <c r="E33" s="3011"/>
      <c r="F33" s="3011"/>
      <c r="G33" s="3011"/>
    </row>
    <row r="34" spans="1:7" hidden="1">
      <c r="A34" s="1419">
        <v>1</v>
      </c>
      <c r="B34" s="1416" t="s">
        <v>1020</v>
      </c>
      <c r="C34" s="1416"/>
      <c r="D34" s="1416"/>
      <c r="E34" s="3012"/>
      <c r="F34" s="3012"/>
      <c r="G34" s="3012"/>
    </row>
    <row r="35" spans="1:7" hidden="1">
      <c r="A35" s="1419">
        <v>2</v>
      </c>
      <c r="B35" s="1416" t="s">
        <v>1021</v>
      </c>
      <c r="C35" s="1416"/>
      <c r="D35" s="1416"/>
      <c r="E35" s="3012"/>
      <c r="F35" s="3012"/>
      <c r="G35" s="3012"/>
    </row>
    <row r="36" spans="1:7" hidden="1">
      <c r="A36" s="1419">
        <v>3</v>
      </c>
      <c r="B36" s="1416" t="s">
        <v>1022</v>
      </c>
      <c r="C36" s="1416"/>
      <c r="D36" s="1416"/>
      <c r="E36" s="3012"/>
      <c r="F36" s="3012"/>
      <c r="G36" s="3012"/>
    </row>
    <row r="37" spans="1:7" hidden="1">
      <c r="A37" s="1419">
        <v>4</v>
      </c>
      <c r="B37" s="1416" t="s">
        <v>1023</v>
      </c>
      <c r="C37" s="1416"/>
      <c r="D37" s="1416"/>
      <c r="E37" s="3012"/>
      <c r="F37" s="3012"/>
      <c r="G37" s="3012"/>
    </row>
    <row r="38" spans="1:7" hidden="1">
      <c r="A38" s="3013" t="s">
        <v>1024</v>
      </c>
      <c r="B38" s="3014"/>
      <c r="C38" s="3014"/>
      <c r="D38" s="3015"/>
      <c r="E38" s="3011"/>
      <c r="F38" s="3011"/>
      <c r="G38" s="301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19" t="s">
        <v>2309</v>
      </c>
      <c r="D4" s="3020"/>
      <c r="E4" s="3020"/>
      <c r="F4" s="3020"/>
      <c r="G4" s="3020"/>
      <c r="H4" s="3020"/>
      <c r="I4" s="3020"/>
      <c r="J4" s="3020"/>
      <c r="K4" s="3020"/>
      <c r="L4" s="3020"/>
      <c r="M4" s="3020"/>
      <c r="N4" s="3020"/>
      <c r="O4" s="3020"/>
      <c r="P4" s="3020"/>
      <c r="Q4" s="3020"/>
      <c r="R4" s="3020"/>
      <c r="S4" s="3021"/>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6" t="s">
        <v>45</v>
      </c>
      <c r="D25" s="3017"/>
      <c r="E25" s="3017"/>
      <c r="F25" s="3017"/>
      <c r="G25" s="3017"/>
      <c r="H25" s="3017"/>
      <c r="I25" s="3017"/>
      <c r="J25" s="3017"/>
      <c r="K25" s="3017"/>
      <c r="L25" s="3017"/>
      <c r="M25" s="3017"/>
      <c r="N25" s="3017"/>
      <c r="O25" s="3017"/>
      <c r="P25" s="3017"/>
      <c r="Q25" s="3018"/>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F13" sqref="F13"/>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1722079</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27731</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57075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57000</v>
      </c>
      <c r="D6" s="81" t="s">
        <v>2806</v>
      </c>
      <c r="E6" s="320" t="s">
        <v>2110</v>
      </c>
      <c r="F6" s="321">
        <f>'数据-取费表'!B29</f>
        <v>5000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75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132877</v>
      </c>
      <c r="D13" s="1424" t="s">
        <v>2125</v>
      </c>
      <c r="E13" s="1424" t="s">
        <v>2126</v>
      </c>
      <c r="F13" s="1425">
        <f>'数据-取费表'!E20</f>
        <v>0.7</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111780</v>
      </c>
      <c r="D14" s="1894" t="s">
        <v>2129</v>
      </c>
      <c r="E14" s="1895"/>
      <c r="F14" s="980"/>
      <c r="G14" s="1241"/>
      <c r="H14" s="338" t="s">
        <v>2108</v>
      </c>
      <c r="I14" s="320" t="s">
        <v>2130</v>
      </c>
      <c r="J14" s="14">
        <f ca="1">C29</f>
        <v>189824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3353</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5589</v>
      </c>
      <c r="D16" s="320" t="s">
        <v>2133</v>
      </c>
      <c r="E16" s="320" t="s">
        <v>2134</v>
      </c>
      <c r="F16" s="343">
        <f>IF('数据-取费表'!B10="住宅",'数据-取费表'!E22,0)</f>
        <v>0.05</v>
      </c>
      <c r="G16" s="1241"/>
      <c r="H16" s="1422" t="s">
        <v>14</v>
      </c>
      <c r="I16" s="1423" t="s">
        <v>2139</v>
      </c>
      <c r="J16" s="328">
        <f ca="1">ROUND(J17+J22+J23+J24,0)</f>
        <v>1898</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12420</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1677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134819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2696</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1898</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2991</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-1898</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34379</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189824</v>
      </c>
      <c r="D29" s="1435"/>
      <c r="E29" s="1433"/>
      <c r="F29" s="1436"/>
      <c r="G29" s="792"/>
      <c r="H29" s="357" t="s">
        <v>24</v>
      </c>
      <c r="I29" s="358" t="s">
        <v>2204</v>
      </c>
      <c r="J29" s="359">
        <f ca="1">ROUND(J26/(1+F40)^F41,0)</f>
        <v>0</v>
      </c>
      <c r="K29" s="360" t="s">
        <v>2205</v>
      </c>
      <c r="L29" s="361"/>
      <c r="M29" s="362">
        <f>IF(D1="仅计算典型户型",'数据-取费表'!E5,'数据-取费表'!B5)</f>
        <v>62.1</v>
      </c>
    </row>
    <row r="30" spans="1:37" ht="18" customHeight="1" thickTop="1">
      <c r="A30" s="1422" t="s">
        <v>14</v>
      </c>
      <c r="B30" s="1423" t="s">
        <v>2206</v>
      </c>
      <c r="C30" s="328">
        <f ca="1">ROUND(C31+C36+C37+C38,0)</f>
        <v>5456</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2853.8</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10630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1898</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133</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571</v>
      </c>
      <c r="D38" s="1435" t="s">
        <v>2181</v>
      </c>
      <c r="E38" s="1433" t="s">
        <v>2177</v>
      </c>
      <c r="F38" s="1428">
        <f>'数据-取费表'!B46</f>
        <v>0.01</v>
      </c>
      <c r="G38" s="792"/>
      <c r="H38" s="1232"/>
      <c r="I38" s="366" t="s">
        <v>2219</v>
      </c>
      <c r="J38" s="221">
        <f ca="1">ROUND(J34/C39,3)</f>
        <v>0.20599999999999999</v>
      </c>
      <c r="K38" s="1237"/>
      <c r="L38" s="1232"/>
      <c r="M38" s="1232"/>
    </row>
    <row r="39" spans="1:18" ht="18" customHeight="1" thickTop="1">
      <c r="A39" s="1422" t="s">
        <v>22</v>
      </c>
      <c r="B39" s="1437" t="s">
        <v>2220</v>
      </c>
      <c r="C39" s="328">
        <f ca="1">C5-C30</f>
        <v>51619</v>
      </c>
      <c r="D39" s="1438" t="s">
        <v>2221</v>
      </c>
      <c r="E39" s="1439"/>
      <c r="F39" s="1440"/>
      <c r="G39" s="792"/>
      <c r="H39" s="1232"/>
      <c r="I39" s="366" t="s">
        <v>2222</v>
      </c>
      <c r="J39" s="221">
        <f ca="1">1-J38</f>
        <v>0.79400000000000004</v>
      </c>
      <c r="K39" s="1237"/>
      <c r="L39" s="1232"/>
      <c r="M39" s="1232"/>
    </row>
    <row r="40" spans="1:18" s="792" customFormat="1" ht="18" customHeight="1">
      <c r="A40" s="317" t="s">
        <v>23</v>
      </c>
      <c r="B40" s="318" t="s">
        <v>2223</v>
      </c>
      <c r="C40" s="319">
        <f ca="1">ROUND(C39*(1-((1+F42)/(1+F40))^F41)/(F40-F42),0)</f>
        <v>1722079</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48</v>
      </c>
      <c r="H41" s="1239"/>
      <c r="I41" s="220" t="s">
        <v>2096</v>
      </c>
      <c r="J41" s="221">
        <f ca="1">ROUND(C13/C40,3)</f>
        <v>7.6999999999999999E-2</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0.92300000000000004</v>
      </c>
      <c r="K42" s="1236"/>
      <c r="L42" s="1239"/>
      <c r="M42" s="1239"/>
      <c r="Q42" s="796"/>
    </row>
    <row r="43" spans="1:18" s="792" customFormat="1" ht="18" customHeight="1" thickBot="1">
      <c r="A43" s="357" t="s">
        <v>24</v>
      </c>
      <c r="B43" s="358" t="s">
        <v>2226</v>
      </c>
      <c r="C43" s="359">
        <f ca="1">ROUND(C40/F43,0)</f>
        <v>27731</v>
      </c>
      <c r="D43" s="360" t="s">
        <v>2227</v>
      </c>
      <c r="E43" s="361" t="s">
        <v>2228</v>
      </c>
      <c r="F43" s="362">
        <f>IF(D1="仅计算典型户型",'数据-取费表'!E5,'数据-取费表'!B5)</f>
        <v>62.1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1722079</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-1761756</v>
      </c>
      <c r="D47" s="2351" t="str">
        <f>C2</f>
        <v>元</v>
      </c>
      <c r="E47" s="777"/>
      <c r="F47" s="777"/>
      <c r="I47" s="2352" t="s">
        <v>2239</v>
      </c>
      <c r="J47" s="1345"/>
      <c r="K47" s="1346"/>
      <c r="L47" s="1359">
        <f>IF(M48="住宅",0,IF(L49&gt;J52,L61,J61))</f>
        <v>0</v>
      </c>
      <c r="O47" s="1373" t="s">
        <v>960</v>
      </c>
      <c r="P47" s="1370" t="s">
        <v>2240</v>
      </c>
      <c r="Q47" s="1371">
        <f ca="1">C29</f>
        <v>189824</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48</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1997</v>
      </c>
      <c r="K50" s="2360" t="s">
        <v>2256</v>
      </c>
      <c r="L50" s="1348"/>
      <c r="O50" s="1373" t="s">
        <v>963</v>
      </c>
      <c r="P50" s="1370" t="s">
        <v>2257</v>
      </c>
      <c r="Q50" s="1371">
        <f>J54</f>
        <v>-21</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1722079</v>
      </c>
      <c r="R51" s="1372" t="s">
        <v>965</v>
      </c>
    </row>
    <row r="52" spans="1:18" s="792" customFormat="1" ht="16.5" thickBot="1">
      <c r="A52" s="322"/>
      <c r="B52" s="323"/>
      <c r="C52" s="324"/>
      <c r="D52" s="325"/>
      <c r="E52" s="320" t="s">
        <v>2113</v>
      </c>
      <c r="F52" s="321">
        <f>F8</f>
        <v>12</v>
      </c>
      <c r="I52" s="2361" t="s">
        <v>2261</v>
      </c>
      <c r="J52" s="1350">
        <f>IF(J50="",J51,J50+J51-YEAR('数据-取费表'!B2))</f>
        <v>-21</v>
      </c>
      <c r="K52" s="2362" t="s">
        <v>2262</v>
      </c>
      <c r="L52" s="1351">
        <f ca="1">ROUND(-PV('数据-取费表'!B15,L49,(C40-C13*J35)),0)</f>
        <v>36274382</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-21</v>
      </c>
      <c r="K54" s="3022" t="s">
        <v>2805</v>
      </c>
      <c r="L54" s="3023"/>
      <c r="O54" s="1369" t="s">
        <v>958</v>
      </c>
      <c r="P54" s="1370" t="s">
        <v>2234</v>
      </c>
      <c r="Q54" s="1371">
        <f ca="1">C40+J29</f>
        <v>1722079</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132877</v>
      </c>
      <c r="D57" s="1296"/>
      <c r="E57" s="1297"/>
      <c r="F57" s="1304"/>
      <c r="I57" s="2371" t="s">
        <v>2272</v>
      </c>
      <c r="J57" s="1357" t="s">
        <v>2868</v>
      </c>
      <c r="K57" s="2356" t="s">
        <v>2273</v>
      </c>
      <c r="L57" s="1129">
        <f>IF(L49&lt;J52,"——",L49-J52)</f>
        <v>69</v>
      </c>
      <c r="O57" s="1373" t="s">
        <v>961</v>
      </c>
      <c r="P57" s="1370" t="s">
        <v>2274</v>
      </c>
      <c r="Q57" s="1374">
        <f>L53</f>
        <v>0</v>
      </c>
      <c r="R57" s="1372"/>
    </row>
    <row r="58" spans="1:18" s="792" customFormat="1" ht="29.25" thickBot="1">
      <c r="A58" s="1303"/>
      <c r="B58" s="320" t="s">
        <v>2203</v>
      </c>
      <c r="C58" s="189">
        <f ca="1">C29</f>
        <v>189824</v>
      </c>
      <c r="D58" s="1296"/>
      <c r="E58" s="1297"/>
      <c r="F58" s="1304"/>
      <c r="I58" s="2372" t="s">
        <v>2275</v>
      </c>
      <c r="J58" s="1356" t="str">
        <f>IF(OR(M48="住宅",J52&lt;L49,J57="是"),"——",J52-L49)</f>
        <v>——</v>
      </c>
      <c r="K58" s="2356" t="s">
        <v>2276</v>
      </c>
      <c r="L58" s="1129">
        <f ca="1">IF(L49&lt;J52,"——",IF(L56="比较法",L50,IF(L56="基准地价",L51,L52)))</f>
        <v>36274382</v>
      </c>
      <c r="O58" s="1373" t="s">
        <v>962</v>
      </c>
      <c r="P58" s="1370" t="s">
        <v>2277</v>
      </c>
      <c r="Q58" s="1371" t="e">
        <f>L59</f>
        <v>#DIV/0!</v>
      </c>
      <c r="R58" s="1372" t="s">
        <v>2278</v>
      </c>
    </row>
    <row r="59" spans="1:18" s="792" customFormat="1" ht="29.25" thickBot="1">
      <c r="A59" s="333" t="s">
        <v>14</v>
      </c>
      <c r="B59" s="334" t="s">
        <v>2206</v>
      </c>
      <c r="C59" s="335">
        <f ca="1">ROUND(C60+C65+C66+C67,0)</f>
        <v>2031</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1722079</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1722079</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1898</v>
      </c>
      <c r="D65" s="1899" t="s">
        <v>2216</v>
      </c>
      <c r="E65" s="320" t="s">
        <v>2160</v>
      </c>
      <c r="F65" s="351">
        <f t="shared" si="0"/>
        <v>0.01</v>
      </c>
      <c r="I65" s="2375" t="s">
        <v>2297</v>
      </c>
      <c r="J65" s="1880">
        <v>50</v>
      </c>
      <c r="K65" s="1880">
        <v>35</v>
      </c>
      <c r="L65" s="1880">
        <v>60</v>
      </c>
      <c r="M65" s="1879">
        <v>0</v>
      </c>
      <c r="O65" s="1373" t="s">
        <v>960</v>
      </c>
      <c r="P65" s="1370" t="s">
        <v>2271</v>
      </c>
      <c r="Q65" s="1375">
        <f ca="1">L52</f>
        <v>36274382</v>
      </c>
      <c r="R65" s="1376" t="s">
        <v>2298</v>
      </c>
    </row>
    <row r="66" spans="1:18" s="792" customFormat="1" ht="20.25" thickBot="1">
      <c r="A66" s="338" t="s">
        <v>20</v>
      </c>
      <c r="B66" s="320" t="s">
        <v>2175</v>
      </c>
      <c r="C66" s="14">
        <f ca="1">ROUND(C57*F66,0)</f>
        <v>133</v>
      </c>
      <c r="D66" s="1899" t="s">
        <v>2176</v>
      </c>
      <c r="E66" s="320" t="s">
        <v>2177</v>
      </c>
      <c r="F66" s="352">
        <f t="shared" si="0"/>
        <v>1E-3</v>
      </c>
      <c r="I66" s="2375" t="s">
        <v>2299</v>
      </c>
      <c r="J66" s="1880">
        <v>40</v>
      </c>
      <c r="K66" s="1880">
        <v>30</v>
      </c>
      <c r="L66" s="1880">
        <v>50</v>
      </c>
      <c r="M66" s="1878">
        <v>0.02</v>
      </c>
      <c r="O66" s="1373" t="s">
        <v>961</v>
      </c>
      <c r="P66" s="1377" t="s">
        <v>2300</v>
      </c>
      <c r="Q66" s="1371">
        <f ca="1">ROUND(Q67-Q68*Q69,0)</f>
        <v>40989</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51619</v>
      </c>
      <c r="R67" s="1372" t="s">
        <v>2235</v>
      </c>
    </row>
    <row r="68" spans="1:18" ht="15.75" thickBot="1">
      <c r="A68" s="333" t="s">
        <v>22</v>
      </c>
      <c r="B68" s="90" t="s">
        <v>2185</v>
      </c>
      <c r="C68" s="335">
        <f ca="1">C49-C59</f>
        <v>-2031</v>
      </c>
      <c r="D68" s="1894" t="s">
        <v>2186</v>
      </c>
      <c r="E68" s="1898"/>
      <c r="F68" s="354"/>
      <c r="H68" s="792"/>
      <c r="I68" s="792"/>
      <c r="J68" s="792"/>
      <c r="K68" s="792"/>
      <c r="L68" s="792"/>
      <c r="M68" s="792"/>
      <c r="O68" s="1373" t="s">
        <v>967</v>
      </c>
      <c r="P68" s="1377" t="s">
        <v>2302</v>
      </c>
      <c r="Q68" s="1371">
        <f ca="1">C13</f>
        <v>132877</v>
      </c>
      <c r="R68" s="1372" t="s">
        <v>2235</v>
      </c>
    </row>
    <row r="69" spans="1:18" ht="15.75" thickBot="1">
      <c r="A69" s="317" t="s">
        <v>23</v>
      </c>
      <c r="B69" s="318" t="s">
        <v>2223</v>
      </c>
      <c r="C69" s="319">
        <f ca="1">ROUND(C68*(1-((1+F71)/(1+F69))^F70)/(F69-F71),0)</f>
        <v>-39677</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48</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-639</v>
      </c>
      <c r="D72" s="360" t="s">
        <v>2227</v>
      </c>
      <c r="E72" s="361" t="s">
        <v>2228</v>
      </c>
      <c r="F72" s="362">
        <f>F43</f>
        <v>62.1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1722079</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2" zoomScale="90" zoomScaleNormal="90" workbookViewId="0">
      <selection activeCell="E43" sqref="E43"/>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6626381</v>
      </c>
      <c r="C2" s="164" t="str">
        <f>'数据-取费表'!B3</f>
        <v>元</v>
      </c>
      <c r="D2" s="2391" t="s">
        <v>1257</v>
      </c>
      <c r="E2" s="1849">
        <f ca="1">SUMIF(INDIRECT("'"&amp;G2&amp;"'"&amp;"!A:A"),"承租人权益价值",INDIRECT("'"&amp;G2&amp;"'"&amp;"!c:c"))</f>
        <v>-1761756</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106705</v>
      </c>
      <c r="C3" s="380" t="s">
        <v>2341</v>
      </c>
      <c r="D3" s="379">
        <f>IF(C1="仅计算典型户型",'数据-取费表'!E5,'数据-取费表'!B5)</f>
        <v>62.1</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2919</v>
      </c>
      <c r="D5" s="3047"/>
      <c r="E5" s="3044" t="s">
        <v>2923</v>
      </c>
      <c r="F5" s="3045"/>
      <c r="G5" s="3046" t="s">
        <v>2923</v>
      </c>
      <c r="H5" s="3047"/>
      <c r="I5" s="3046" t="s">
        <v>2923</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392">
        <v>42989</v>
      </c>
      <c r="F7" s="393">
        <f>SUMIF(58:58,YEAR(E7)&amp;"-"&amp;MONTH(E7),59:59)</f>
        <v>103</v>
      </c>
      <c r="G7" s="392">
        <v>42803</v>
      </c>
      <c r="H7" s="391">
        <f>SUMIF(58:58,YEAR(G7)&amp;"-"&amp;MONTH(G7),59:59)</f>
        <v>106</v>
      </c>
      <c r="I7" s="392">
        <v>42796</v>
      </c>
      <c r="J7" s="391">
        <f>SUMIF(58:58,YEAR(I7)&amp;"-"&amp;MONTH(I7),59:59)</f>
        <v>106</v>
      </c>
      <c r="K7" s="2404"/>
      <c r="L7" s="1247"/>
      <c r="M7" s="1248"/>
      <c r="N7" s="1248"/>
      <c r="O7" s="1248"/>
      <c r="P7" s="3060" t="s">
        <v>2356</v>
      </c>
      <c r="Q7" s="3062"/>
      <c r="R7" s="750" t="s">
        <v>34</v>
      </c>
      <c r="S7" s="751">
        <f t="shared" ref="S7:S15" si="0">F7</f>
        <v>103</v>
      </c>
      <c r="T7" s="750" t="s">
        <v>34</v>
      </c>
      <c r="U7" s="751">
        <f t="shared" ref="U7:U15" si="1">H7</f>
        <v>106</v>
      </c>
      <c r="V7" s="750" t="s">
        <v>34</v>
      </c>
      <c r="W7" s="751">
        <f t="shared" ref="W7:W15" si="2">J7</f>
        <v>106</v>
      </c>
      <c r="X7" s="752"/>
      <c r="Y7" s="3060" t="s">
        <v>2356</v>
      </c>
      <c r="Z7" s="3061"/>
      <c r="AA7" s="753">
        <f>D7/F7</f>
        <v>0.970873786407767</v>
      </c>
      <c r="AB7" s="753">
        <f>D7/H7</f>
        <v>0.94339622641509435</v>
      </c>
      <c r="AC7" s="753">
        <f>D7/J7</f>
        <v>0.94339622641509435</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2910</v>
      </c>
      <c r="D10" s="52">
        <v>100</v>
      </c>
      <c r="E10" s="405" t="s">
        <v>2910</v>
      </c>
      <c r="F10" s="406">
        <f>SUMIF(65:65,E10,66:66)-SUMIF(65:65,C10,66:66)+100</f>
        <v>100</v>
      </c>
      <c r="G10" s="404" t="s">
        <v>2910</v>
      </c>
      <c r="H10" s="52">
        <f>SUMIF(65:65,G10,66:66)-SUMIF(65:65,C10,66:66)+100</f>
        <v>100</v>
      </c>
      <c r="I10" s="404" t="s">
        <v>2910</v>
      </c>
      <c r="J10" s="52">
        <f>SUMIF(65:65,I10,66:66)-SUMIF(65:65,C10,66:66)+100</f>
        <v>100</v>
      </c>
      <c r="K10" s="407">
        <v>1</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估价对象周边有新安中里小区、新安南里、恬心家园、建功东里、白纸坊中里、右安西里等居住小区，小区规模和社区发展完善程度较好，综合评价居住社区成熟度较好</v>
      </c>
      <c r="D15" s="421">
        <v>100</v>
      </c>
      <c r="E15" s="2735" t="s">
        <v>2911</v>
      </c>
      <c r="F15" s="423">
        <f>SUMIF(76:76,E16,77:77)-SUMIF(76:76,C16,77:77)+100</f>
        <v>100</v>
      </c>
      <c r="G15" s="2735" t="s">
        <v>2911</v>
      </c>
      <c r="H15" s="421">
        <f>SUMIF(76:76,G16,77:77)-SUMIF(76:76,C16,77:77)+100</f>
        <v>100</v>
      </c>
      <c r="I15" s="2735" t="s">
        <v>2911</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47" customHeight="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2723" t="s">
        <v>2913</v>
      </c>
      <c r="F17" s="434">
        <f>SUMIF(78:78,E18,79:79)-SUMIF(78:78,C18,79:79)+100</f>
        <v>100</v>
      </c>
      <c r="G17" s="2724" t="s">
        <v>2913</v>
      </c>
      <c r="H17" s="436">
        <f>SUMIF(78:78,G18,79:79)-SUMIF(78:78,C18,79:79)+100</f>
        <v>100</v>
      </c>
      <c r="I17" s="2723" t="s">
        <v>2913</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估价对象所在区域基础设施水平——七通</v>
      </c>
      <c r="D21" s="436">
        <v>100</v>
      </c>
      <c r="E21" s="2725" t="s">
        <v>2924</v>
      </c>
      <c r="F21" s="440">
        <f>SUMIF(82:82,E22,83:83)-SUMIF(82:82,C22,83:83)+100</f>
        <v>100</v>
      </c>
      <c r="G21" s="2725" t="s">
        <v>2924</v>
      </c>
      <c r="H21" s="431">
        <f>SUMIF(82:82,G22,83:83)-SUMIF(82:82,C22,83:83)+100</f>
        <v>100</v>
      </c>
      <c r="I21" s="2725" t="s">
        <v>2924</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2869</v>
      </c>
      <c r="D22" s="428"/>
      <c r="E22" s="427" t="s">
        <v>2869</v>
      </c>
      <c r="F22" s="430"/>
      <c r="G22" s="427" t="s">
        <v>2869</v>
      </c>
      <c r="H22" s="428"/>
      <c r="I22" s="427" t="s">
        <v>2869</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101.25" customHeight="1">
      <c r="A23" s="409"/>
      <c r="B23" s="432" t="s">
        <v>1756</v>
      </c>
      <c r="C23" s="2413" t="str">
        <f>估价对象房地状况!C9</f>
        <v>自然环境：陶然亭公园、北京大观园、万寿公园等；人文环境：古陶文明博物馆等，综合评价环境状况较好</v>
      </c>
      <c r="D23" s="431">
        <v>100</v>
      </c>
      <c r="E23" s="2723" t="s">
        <v>2925</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2905</v>
      </c>
      <c r="D26" s="416">
        <v>100</v>
      </c>
      <c r="E26" s="2417" t="s">
        <v>2905</v>
      </c>
      <c r="F26" s="443">
        <f>SUMIF(88:88,E26,89:89)-SUMIF(88:88,C26,89:89)+100</f>
        <v>100</v>
      </c>
      <c r="G26" s="2418" t="s">
        <v>2905</v>
      </c>
      <c r="H26" s="416">
        <f>SUMIF(88:88,G26,89:89)-SUMIF(88:88,C26,89:89)+100</f>
        <v>100</v>
      </c>
      <c r="I26" s="2417" t="s">
        <v>2905</v>
      </c>
      <c r="J26" s="416">
        <f>SUMIF(88:88,I26,89:89)-SUMIF(88:88,C26,89:89)+100</f>
        <v>100</v>
      </c>
      <c r="K26" s="407">
        <v>1.5</v>
      </c>
      <c r="L26" s="1255"/>
      <c r="M26" s="1246"/>
      <c r="N26" s="1246"/>
      <c r="O26" s="1246"/>
      <c r="P26" s="3067"/>
      <c r="Q26" s="1905" t="str">
        <f t="shared" si="11"/>
        <v>朝向</v>
      </c>
      <c r="R26" s="754" t="s">
        <v>28</v>
      </c>
      <c r="S26" s="755">
        <f>F26</f>
        <v>100</v>
      </c>
      <c r="T26" s="754" t="s">
        <v>28</v>
      </c>
      <c r="U26" s="755">
        <f>H26</f>
        <v>100</v>
      </c>
      <c r="V26" s="754" t="s">
        <v>28</v>
      </c>
      <c r="W26" s="755">
        <f>J26</f>
        <v>100</v>
      </c>
      <c r="X26" s="1906"/>
      <c r="Y26" s="3053"/>
      <c r="Z26" s="1908" t="str">
        <f>Q26</f>
        <v>朝向</v>
      </c>
      <c r="AA26" s="1909">
        <f t="shared" si="3"/>
        <v>1</v>
      </c>
      <c r="AB26" s="1909">
        <f t="shared" si="4"/>
        <v>1</v>
      </c>
      <c r="AC26" s="1909">
        <f t="shared" si="5"/>
        <v>1</v>
      </c>
    </row>
    <row r="27" spans="1:29" s="35" customFormat="1" ht="15">
      <c r="A27" s="412"/>
      <c r="B27" s="2406" t="s">
        <v>2370</v>
      </c>
      <c r="C27" s="2730" t="s">
        <v>2926</v>
      </c>
      <c r="D27" s="444">
        <v>100</v>
      </c>
      <c r="E27" s="2730" t="s">
        <v>2920</v>
      </c>
      <c r="F27" s="446">
        <f>SUMIF(90:90,E27,91:91)-SUMIF(90:90,C27,91:91)+100</f>
        <v>100</v>
      </c>
      <c r="G27" s="2730" t="s">
        <v>2927</v>
      </c>
      <c r="H27" s="444">
        <f>SUMIF(90:90,G27,91:91)-SUMIF(90:90,C27,91:91)+100</f>
        <v>100</v>
      </c>
      <c r="I27" s="2730" t="s">
        <v>2927</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2901</v>
      </c>
      <c r="C29" s="415" t="s">
        <v>2921</v>
      </c>
      <c r="D29" s="416">
        <v>100</v>
      </c>
      <c r="E29" s="2731" t="s">
        <v>2929</v>
      </c>
      <c r="F29" s="443">
        <f>SUMIF(94:94,E29,95:95)-SUMIF(94:94,C29,95:95)+100</f>
        <v>97</v>
      </c>
      <c r="G29" s="2731" t="s">
        <v>2930</v>
      </c>
      <c r="H29" s="416">
        <f>SUMIF(94:94,G29,95:95)-SUMIF(94:94,C29,95:95)+100</f>
        <v>98.5</v>
      </c>
      <c r="I29" s="2731" t="s">
        <v>2906</v>
      </c>
      <c r="J29" s="416">
        <f>SUMIF(94:94,I29,95:95)-SUMIF(94:94,C29,95:95)+100</f>
        <v>95.5</v>
      </c>
      <c r="K29" s="2407"/>
      <c r="L29" s="1255"/>
      <c r="M29" s="1246"/>
      <c r="N29" s="1246"/>
      <c r="O29" s="1246"/>
      <c r="P29" s="3067"/>
      <c r="Q29" s="1905" t="str">
        <f t="shared" si="11"/>
        <v>楼层</v>
      </c>
      <c r="R29" s="754" t="s">
        <v>28</v>
      </c>
      <c r="S29" s="755">
        <f t="shared" si="12"/>
        <v>97</v>
      </c>
      <c r="T29" s="754" t="s">
        <v>28</v>
      </c>
      <c r="U29" s="755">
        <f t="shared" si="13"/>
        <v>98.5</v>
      </c>
      <c r="V29" s="754" t="s">
        <v>28</v>
      </c>
      <c r="W29" s="755">
        <f t="shared" si="14"/>
        <v>95.5</v>
      </c>
      <c r="X29" s="1906"/>
      <c r="Y29" s="3053"/>
      <c r="Z29" s="1908" t="str">
        <f t="shared" si="15"/>
        <v>楼层</v>
      </c>
      <c r="AA29" s="1909">
        <f t="shared" si="3"/>
        <v>1.0309278350515463</v>
      </c>
      <c r="AB29" s="1909">
        <f t="shared" si="4"/>
        <v>1.015228426395939</v>
      </c>
      <c r="AC29" s="1909">
        <f t="shared" si="5"/>
        <v>1.0471204188481675</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2922</v>
      </c>
      <c r="D32" s="449">
        <v>100</v>
      </c>
      <c r="E32" s="2421" t="s">
        <v>2922</v>
      </c>
      <c r="F32" s="443">
        <f>SUMIF(100:100,E32,101:101)-SUMIF(100:100,C32,101:101)+100</f>
        <v>100</v>
      </c>
      <c r="G32" s="2420" t="s">
        <v>2922</v>
      </c>
      <c r="H32" s="449">
        <f>SUMIF(100:100,G32,101:101)-SUMIF(100:100,C32,101:101)+100</f>
        <v>100</v>
      </c>
      <c r="I32" s="2421" t="s">
        <v>2922</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62.1</v>
      </c>
      <c r="D33" s="52">
        <v>100</v>
      </c>
      <c r="E33" s="411">
        <v>62.44</v>
      </c>
      <c r="F33" s="406">
        <f>LOOKUP(E33,103:103,104:104)-LOOKUP(C33,103:103,104:104)+100</f>
        <v>100</v>
      </c>
      <c r="G33" s="411">
        <v>62.44</v>
      </c>
      <c r="H33" s="52">
        <f>LOOKUP(G33,103:103,104:104)-LOOKUP(C33,103:103,104:104)+100</f>
        <v>100</v>
      </c>
      <c r="I33" s="411">
        <v>62.1</v>
      </c>
      <c r="J33" s="52">
        <f>LOOKUP(I33,103:103,104:104)-LOOKUP(C33,103:103,104:104)+100</f>
        <v>100</v>
      </c>
      <c r="K33" s="2407"/>
      <c r="L33" s="1253"/>
      <c r="M33" s="1256"/>
      <c r="N33" s="1256"/>
      <c r="O33" s="1256"/>
      <c r="P33" s="3055"/>
      <c r="Q33" s="756" t="str">
        <f t="shared" si="11"/>
        <v>项目建筑规模</v>
      </c>
      <c r="R33" s="757" t="s">
        <v>28</v>
      </c>
      <c r="S33" s="758">
        <f t="shared" si="12"/>
        <v>100</v>
      </c>
      <c r="T33" s="757" t="s">
        <v>28</v>
      </c>
      <c r="U33" s="758">
        <f t="shared" si="13"/>
        <v>100</v>
      </c>
      <c r="V33" s="757" t="s">
        <v>28</v>
      </c>
      <c r="W33" s="758">
        <f t="shared" si="14"/>
        <v>100</v>
      </c>
      <c r="X33" s="759"/>
      <c r="Y33" s="3057"/>
      <c r="Z33" s="760" t="str">
        <f t="shared" si="15"/>
        <v>项目建筑规模</v>
      </c>
      <c r="AA33" s="1909">
        <f t="shared" si="3"/>
        <v>1</v>
      </c>
      <c r="AB33" s="1909">
        <f t="shared" si="4"/>
        <v>1</v>
      </c>
      <c r="AC33" s="1909">
        <f t="shared" si="5"/>
        <v>1</v>
      </c>
    </row>
    <row r="34" spans="1:29" ht="15">
      <c r="A34" s="454"/>
      <c r="B34" s="403" t="s">
        <v>2375</v>
      </c>
      <c r="C34" s="2422" t="s">
        <v>2907</v>
      </c>
      <c r="D34" s="416">
        <v>100</v>
      </c>
      <c r="E34" s="2423" t="s">
        <v>2907</v>
      </c>
      <c r="F34" s="443">
        <f>SUMIF(105:105,E34,106:106)-SUMIF(105:105,C34,106:106)+100</f>
        <v>100</v>
      </c>
      <c r="G34" s="2422" t="s">
        <v>2907</v>
      </c>
      <c r="H34" s="416">
        <f>SUMIF(105:105,G34,106:106)-SUMIF(105:105,C34,106:106)+100</f>
        <v>100</v>
      </c>
      <c r="I34" s="2423" t="s">
        <v>2907</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2908</v>
      </c>
      <c r="D42" s="416">
        <v>100</v>
      </c>
      <c r="E42" s="2417" t="s">
        <v>2908</v>
      </c>
      <c r="F42" s="443">
        <f>SUMIF(122:122,E42,123:123)-SUMIF(122:122,C42,123:123)+100</f>
        <v>100</v>
      </c>
      <c r="G42" s="2418" t="s">
        <v>2908</v>
      </c>
      <c r="H42" s="416">
        <f>SUMIF(122:122,G42,123:123)-SUMIF(122:122,C42,123:123)+100</f>
        <v>100</v>
      </c>
      <c r="I42" s="2417" t="s">
        <v>2932</v>
      </c>
      <c r="J42" s="416">
        <f>SUMIF(122:122,I42,123:123)-SUMIF(122:122,C42,123:123)+100</f>
        <v>101</v>
      </c>
      <c r="K42" s="407">
        <v>1</v>
      </c>
      <c r="L42" s="1255"/>
      <c r="M42" s="1246"/>
      <c r="N42" s="1246"/>
      <c r="O42" s="1246"/>
      <c r="P42" s="3055"/>
      <c r="Q42" s="1905" t="str">
        <f t="shared" si="11"/>
        <v>内部装修</v>
      </c>
      <c r="R42" s="754" t="s">
        <v>28</v>
      </c>
      <c r="S42" s="755">
        <f t="shared" si="12"/>
        <v>100</v>
      </c>
      <c r="T42" s="754" t="s">
        <v>28</v>
      </c>
      <c r="U42" s="755">
        <f t="shared" si="13"/>
        <v>100</v>
      </c>
      <c r="V42" s="754" t="s">
        <v>28</v>
      </c>
      <c r="W42" s="755">
        <f t="shared" si="14"/>
        <v>101</v>
      </c>
      <c r="X42" s="1906"/>
      <c r="Y42" s="3057"/>
      <c r="Z42" s="1908" t="str">
        <f t="shared" si="15"/>
        <v>内部装修</v>
      </c>
      <c r="AA42" s="1909">
        <f t="shared" si="3"/>
        <v>1</v>
      </c>
      <c r="AB42" s="1909">
        <f t="shared" si="4"/>
        <v>1</v>
      </c>
      <c r="AC42" s="1909">
        <f t="shared" si="5"/>
        <v>0.99009900990099009</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2826</v>
      </c>
      <c r="C44" s="451">
        <v>1997</v>
      </c>
      <c r="D44" s="52">
        <v>100</v>
      </c>
      <c r="E44" s="451">
        <v>1996</v>
      </c>
      <c r="F44" s="406">
        <f>SUMIF(126:126,E44,127:127)-SUMIF(126:126,C44,127:127)+100</f>
        <v>99.8</v>
      </c>
      <c r="G44" s="451">
        <v>1996</v>
      </c>
      <c r="H44" s="52">
        <f>SUMIF(126:126,G44,127:127)-SUMIF(126:126,C44,127:127)+100</f>
        <v>99.8</v>
      </c>
      <c r="I44" s="451">
        <v>1997</v>
      </c>
      <c r="J44" s="52">
        <f>SUMIF(126:126,I44,127:127)-SUMIF(126:126,C44,127:127)+100</f>
        <v>100</v>
      </c>
      <c r="K44" s="2407"/>
      <c r="L44" s="1247"/>
      <c r="M44" s="1248"/>
      <c r="N44" s="1248"/>
      <c r="O44" s="1248"/>
      <c r="P44" s="3055"/>
      <c r="Q44" s="1893" t="str">
        <f t="shared" si="11"/>
        <v>建成年代</v>
      </c>
      <c r="R44" s="750" t="s">
        <v>28</v>
      </c>
      <c r="S44" s="751">
        <f t="shared" si="12"/>
        <v>99.8</v>
      </c>
      <c r="T44" s="750" t="s">
        <v>28</v>
      </c>
      <c r="U44" s="751">
        <f t="shared" si="13"/>
        <v>99.8</v>
      </c>
      <c r="V44" s="750" t="s">
        <v>28</v>
      </c>
      <c r="W44" s="751">
        <f t="shared" si="14"/>
        <v>100</v>
      </c>
      <c r="X44" s="752"/>
      <c r="Y44" s="3057"/>
      <c r="Z44" s="23" t="str">
        <f t="shared" si="15"/>
        <v>建成年代</v>
      </c>
      <c r="AA44" s="753">
        <f t="shared" si="3"/>
        <v>1.0020040080160322</v>
      </c>
      <c r="AB44" s="753">
        <f t="shared" si="4"/>
        <v>1.0020040080160322</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96413</v>
      </c>
      <c r="F47" s="1507"/>
      <c r="G47" s="1508">
        <v>119075</v>
      </c>
      <c r="H47" s="1509"/>
      <c r="I47" s="1506">
        <v>111595</v>
      </c>
      <c r="J47" s="1509"/>
      <c r="K47" s="2424"/>
      <c r="L47" s="1258"/>
      <c r="M47" s="1259"/>
      <c r="N47" s="1246"/>
      <c r="O47" s="1259"/>
      <c r="P47" s="3064" t="str">
        <f>A47</f>
        <v>成交单价（元/平方米）</v>
      </c>
      <c r="Q47" s="3064"/>
      <c r="R47" s="3065">
        <f>E47</f>
        <v>96413</v>
      </c>
      <c r="S47" s="3065"/>
      <c r="T47" s="3065">
        <f>G47</f>
        <v>119075</v>
      </c>
      <c r="U47" s="3065"/>
      <c r="V47" s="3065">
        <f>I47</f>
        <v>111595</v>
      </c>
      <c r="W47" s="3065"/>
      <c r="X47" s="739"/>
      <c r="Y47" s="761"/>
      <c r="Z47" s="739"/>
      <c r="AA47" s="739"/>
      <c r="AB47" s="739"/>
      <c r="AC47" s="739"/>
    </row>
    <row r="48" spans="1:29" ht="15.75" thickBot="1">
      <c r="A48" s="468" t="s">
        <v>2386</v>
      </c>
      <c r="B48" s="469"/>
      <c r="C48" s="1510">
        <f>R49</f>
        <v>106705</v>
      </c>
      <c r="D48" s="1511"/>
      <c r="E48" s="1512">
        <f>R48</f>
        <v>96693</v>
      </c>
      <c r="F48" s="1512"/>
      <c r="G48" s="1510">
        <f>T48</f>
        <v>114274</v>
      </c>
      <c r="H48" s="1511"/>
      <c r="I48" s="1512">
        <f>V48</f>
        <v>109148</v>
      </c>
      <c r="J48" s="1511"/>
      <c r="K48" s="2425"/>
      <c r="L48" s="1258"/>
      <c r="M48" s="1259"/>
      <c r="N48" s="1259"/>
      <c r="O48" s="1259"/>
      <c r="P48" s="3064" t="str">
        <f>A48</f>
        <v>比较价值（元/平方米）</v>
      </c>
      <c r="Q48" s="3064"/>
      <c r="R48" s="3065">
        <f>IF(E1="售价",ROUND(PRODUCT(R47,AA7:AA46),0),ROUND(PRODUCT(R47,AA7:AA46),1))</f>
        <v>96693</v>
      </c>
      <c r="S48" s="3065"/>
      <c r="T48" s="3068">
        <f>IF(E1="售价",ROUND(PRODUCT(T47,AB7:AB46),0),ROUND(PRODUCT(T47,AB7:AB46),1))</f>
        <v>114274</v>
      </c>
      <c r="U48" s="3069"/>
      <c r="V48" s="3065">
        <f>IF(E1="售价",ROUND(PRODUCT(V47,AC7:AC46),0),ROUND(PRODUCT(V47,AC7:AC46),1))</f>
        <v>109148</v>
      </c>
      <c r="W48" s="3065"/>
      <c r="X48" s="739"/>
      <c r="Y48" s="739"/>
      <c r="Z48" s="739"/>
      <c r="AA48" s="739"/>
      <c r="AB48" s="739"/>
      <c r="AC48" s="739"/>
    </row>
    <row r="49" spans="1:29" ht="15.75" thickBot="1">
      <c r="A49" s="474" t="s">
        <v>2387</v>
      </c>
      <c r="B49" s="475"/>
      <c r="C49" s="1513">
        <f>R49</f>
        <v>106705</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106705</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2.9041726738094908E-3</v>
      </c>
      <c r="F52" s="482" t="str">
        <f>IF(OR(E52&gt;=0.3,E52&lt;=-0.3),"超过30%","")</f>
        <v/>
      </c>
      <c r="G52" s="481">
        <f>IF(G47&lt;G48,G48/G47-1,G47/G48-1)</f>
        <v>4.2013056338274568E-2</v>
      </c>
      <c r="H52" s="482" t="str">
        <f>IF(OR(G52&gt;=0.3,G52&lt;=-0.3),"超过30%","")</f>
        <v/>
      </c>
      <c r="I52" s="481">
        <f>IF(I47&lt;I48,I48/I47-1,I47/I48-1)</f>
        <v>2.2419100670649117E-2</v>
      </c>
      <c r="J52" s="482" t="str">
        <f>IF(OR(I52&gt;=0.3,I52&lt;=-0.3),"超过30%","")</f>
        <v/>
      </c>
      <c r="K52" s="1264"/>
      <c r="L52" s="1260"/>
      <c r="M52" s="1259"/>
      <c r="N52" s="1259"/>
      <c r="O52" s="1259"/>
    </row>
    <row r="53" spans="1:29" ht="13.5" customHeight="1">
      <c r="A53" s="1259"/>
      <c r="B53" s="1259"/>
      <c r="C53" s="479" t="s">
        <v>2389</v>
      </c>
      <c r="D53" s="483"/>
      <c r="E53" s="481">
        <f>IF(E48&lt;G48,G48/E48-1,E48/G48-1)</f>
        <v>0.18182288273194547</v>
      </c>
      <c r="F53" s="482" t="str">
        <f>IF(OR(E53&gt;=0.2,E53&lt;=-0.2),"超过20%","")</f>
        <v/>
      </c>
      <c r="G53" s="481">
        <f>IF(G48&lt;I48,I48/G48-1,G48/I48-1)</f>
        <v>4.6963755634551241E-2</v>
      </c>
      <c r="H53" s="482" t="str">
        <f>IF(OR(G53&gt;=0.2,G53&lt;=-0.2),"超过20%","")</f>
        <v/>
      </c>
      <c r="I53" s="481">
        <f>IF(I48&lt;E48,E48/I48-1,I48/E48-1)</f>
        <v>0.12880973803687956</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0.23505128976382861</v>
      </c>
      <c r="F54" s="482" t="str">
        <f>IF(OR(E54&gt;=0.3,E54&lt;=-0.3),"超过30%","")</f>
        <v/>
      </c>
      <c r="G54" s="481">
        <f>IF(G47&lt;I47,I47/G47-1,G47/I47-1)</f>
        <v>6.702809265648102E-2</v>
      </c>
      <c r="H54" s="482" t="str">
        <f>IF(OR(G54&gt;=0.3,G54&lt;=-0.3),"超过30%","")</f>
        <v/>
      </c>
      <c r="I54" s="481">
        <f>IF(I47&lt;E47,E47/I47-1,I47/E47-1)</f>
        <v>0.15746839119205913</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v>100</v>
      </c>
      <c r="E59" s="494">
        <v>101.5</v>
      </c>
      <c r="F59" s="494">
        <v>101.5</v>
      </c>
      <c r="G59" s="494">
        <v>101.5</v>
      </c>
      <c r="H59" s="494">
        <v>103</v>
      </c>
      <c r="I59" s="494">
        <v>103</v>
      </c>
      <c r="J59" s="494">
        <v>103</v>
      </c>
      <c r="K59" s="494">
        <v>104.5</v>
      </c>
      <c r="L59" s="494">
        <v>104.5</v>
      </c>
      <c r="M59" s="495">
        <v>104.5</v>
      </c>
      <c r="N59" s="494">
        <v>106</v>
      </c>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2896</v>
      </c>
      <c r="L88" s="2729" t="s">
        <v>2903</v>
      </c>
      <c r="M88" s="2762"/>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2897</v>
      </c>
      <c r="D92" s="2731" t="s">
        <v>2898</v>
      </c>
      <c r="E92" s="2731" t="s">
        <v>2900</v>
      </c>
      <c r="F92" s="2731" t="s">
        <v>2899</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2931</v>
      </c>
      <c r="D94" s="2761" t="s">
        <v>2930</v>
      </c>
      <c r="E94" s="2761" t="s">
        <v>2909</v>
      </c>
      <c r="F94" s="2761" t="s">
        <v>2928</v>
      </c>
      <c r="G94" s="568"/>
      <c r="H94" s="568"/>
      <c r="I94" s="568"/>
      <c r="J94" s="568"/>
      <c r="K94" s="569"/>
      <c r="L94" s="570"/>
      <c r="M94" s="571"/>
      <c r="N94" s="1269"/>
      <c r="O94" s="1269"/>
      <c r="P94" s="2433"/>
      <c r="Q94" s="486"/>
    </row>
    <row r="95" spans="1:17" ht="15.75" thickBot="1">
      <c r="A95" s="517"/>
      <c r="B95" s="527"/>
      <c r="C95" s="545">
        <v>100</v>
      </c>
      <c r="D95" s="545">
        <v>98.5</v>
      </c>
      <c r="E95" s="545">
        <v>95.5</v>
      </c>
      <c r="F95" s="545">
        <v>97</v>
      </c>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30(含)-50</v>
      </c>
      <c r="E102" s="563" t="str">
        <f t="shared" si="23"/>
        <v>50(含)-70</v>
      </c>
      <c r="F102" s="563" t="str">
        <f t="shared" si="23"/>
        <v>70(含)-90</v>
      </c>
      <c r="G102" s="563" t="str">
        <f t="shared" si="23"/>
        <v>90(含)-156</v>
      </c>
      <c r="H102" s="563" t="str">
        <f t="shared" si="23"/>
        <v>156(含)-180</v>
      </c>
      <c r="I102" s="563" t="str">
        <f t="shared" si="23"/>
        <v>180(含)-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50</v>
      </c>
      <c r="F103" s="580">
        <v>70</v>
      </c>
      <c r="G103" s="580">
        <v>90</v>
      </c>
      <c r="H103" s="580">
        <v>156</v>
      </c>
      <c r="I103" s="580">
        <v>180</v>
      </c>
      <c r="J103" s="581"/>
      <c r="K103" s="581"/>
      <c r="L103" s="582"/>
      <c r="M103" s="583"/>
      <c r="N103" s="1271"/>
      <c r="O103" s="1271"/>
      <c r="P103" s="2434"/>
      <c r="Q103" s="544"/>
    </row>
    <row r="104" spans="1:17" s="453" customFormat="1" ht="15.75" thickBot="1">
      <c r="A104" s="537"/>
      <c r="B104" s="527"/>
      <c r="C104" s="545">
        <v>100</v>
      </c>
      <c r="D104" s="519">
        <v>99</v>
      </c>
      <c r="E104" s="519">
        <v>98</v>
      </c>
      <c r="F104" s="519">
        <v>97</v>
      </c>
      <c r="G104" s="519">
        <v>96</v>
      </c>
      <c r="H104" s="519">
        <v>95</v>
      </c>
      <c r="I104" s="519">
        <v>94</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1997</v>
      </c>
      <c r="D126" s="538">
        <v>1996</v>
      </c>
      <c r="E126" s="538">
        <v>1993</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99.8</v>
      </c>
      <c r="E127" s="519">
        <v>98.4</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zoomScale="106" zoomScaleNormal="106" workbookViewId="0">
      <selection activeCell="A51" sqref="A51"/>
    </sheetView>
  </sheetViews>
  <sheetFormatPr defaultRowHeight="13.5"/>
  <sheetData>
    <row r="74" spans="1:1">
      <c r="A74" s="1915" t="s">
        <v>2904</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62.1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43140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564.55110000000002</v>
      </c>
      <c r="C5" s="1836">
        <f ca="1">ROUND(B5*10000/$B$1,0)</f>
        <v>90910</v>
      </c>
      <c r="D5" s="1836" t="e">
        <f ca="1">ROUND(B5*10000/$B$2,0)</f>
        <v>#DIV/0!</v>
      </c>
      <c r="E5" s="1837"/>
      <c r="F5" s="1841"/>
      <c r="G5" s="1841"/>
    </row>
    <row r="6" spans="1:9" ht="16.5">
      <c r="A6" s="1836" t="s">
        <v>1237</v>
      </c>
      <c r="B6" s="1836">
        <f ca="1">SUM(G14:G23)</f>
        <v>564.55110000000002</v>
      </c>
      <c r="C6" s="1836">
        <f t="shared" ref="C6:C8" ca="1" si="0">ROUND(B6*10000/$B$1,0)</f>
        <v>90910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62.1</v>
      </c>
      <c r="C14" s="1840">
        <f>项目基本情况!C13</f>
        <v>0</v>
      </c>
      <c r="D14" s="1840">
        <f ca="1">IF('数据-取费表'!B3="万元",IF(A14="估价对象1（结果表）",结果表!H121,'结果表 (1修多)'!H124),IF(A14="估价对象1（结果表）",结果表!H121,'结果表 (1修多)'!H124)/10000)</f>
        <v>564.55110000000002</v>
      </c>
      <c r="E14" s="1840">
        <f ca="1">ROUND(D14*10000/B14,0)</f>
        <v>90910</v>
      </c>
      <c r="F14" s="1840" t="e">
        <f ca="1">ROUND(D14*10000/C14,0)</f>
        <v>#DIV/0!</v>
      </c>
      <c r="G14" s="1840">
        <f ca="1">IF('数据-取费表'!B3="万元",IF(A14="估价对象1（结果表）",结果表!D125,'结果表 (1修多)'!D128),IF(A14="估价对象1（结果表）",结果表!D125,'结果表 (1修多)'!D128)/10000)</f>
        <v>564.55110000000002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62.1</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43140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71">
      <c r="A17" s="409"/>
      <c r="B17" s="432" t="s">
        <v>1751</v>
      </c>
      <c r="C17" s="2413" t="str">
        <f>估价对象房地状况!C6</f>
        <v>估价对象紧邻城市支路——白纸坊街，临近地铁4号线（菜市口站），以估价对象为中心半径2公里范围内有10路、19路、40路、83路、395路等多条公交线路，综合评价交通便捷度较好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估价对象所在区域基础设施水平——七通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99.75">
      <c r="A23" s="409"/>
      <c r="B23" s="432" t="s">
        <v>1756</v>
      </c>
      <c r="C23" s="2464" t="str">
        <f>估价对象房地状况!C9</f>
        <v>自然环境：陶然亭公园、北京大观园、万寿公园等；人文环境：古陶文明博物馆等，综合评价环境状况较好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2018-2</v>
      </c>
      <c r="D58" s="1685">
        <f>EDATE(C58,-1)</f>
        <v>43101</v>
      </c>
      <c r="E58" s="1685">
        <f t="shared" ref="E58:O58" si="16">EDATE(D58,-1)</f>
        <v>43070</v>
      </c>
      <c r="F58" s="1685">
        <f t="shared" si="16"/>
        <v>43040</v>
      </c>
      <c r="G58" s="1685">
        <f t="shared" si="16"/>
        <v>43009</v>
      </c>
      <c r="H58" s="1685">
        <f t="shared" si="16"/>
        <v>42979</v>
      </c>
      <c r="I58" s="1685">
        <f t="shared" si="16"/>
        <v>42948</v>
      </c>
      <c r="J58" s="1685">
        <f t="shared" si="16"/>
        <v>42917</v>
      </c>
      <c r="K58" s="1685">
        <f t="shared" si="16"/>
        <v>42887</v>
      </c>
      <c r="L58" s="1685">
        <f t="shared" si="16"/>
        <v>42856</v>
      </c>
      <c r="M58" s="1685">
        <f t="shared" si="16"/>
        <v>42826</v>
      </c>
      <c r="N58" s="1685">
        <f t="shared" si="16"/>
        <v>42795</v>
      </c>
      <c r="O58" s="1685">
        <f t="shared" si="16"/>
        <v>42767</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62.1</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71">
      <c r="A17" s="409"/>
      <c r="B17" s="616" t="s">
        <v>1751</v>
      </c>
      <c r="C17" s="2475" t="str">
        <f>估价对象房地状况!C6</f>
        <v>估价对象紧邻城市支路——白纸坊街，临近地铁4号线（菜市口站），以估价对象为中心半径2公里范围内有10路、19路、40路、83路、395路等多条公交线路，综合评价交通便捷度较好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估价对象所在区域基础设施水平——七通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99.75">
      <c r="A23" s="409"/>
      <c r="B23" s="616" t="s">
        <v>2484</v>
      </c>
      <c r="C23" s="2475" t="str">
        <f>估价对象房地状况!C9</f>
        <v>自然环境：陶然亭公园、北京大观园、万寿公园等；人文环境：古陶文明博物馆等，综合评价环境状况较好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2018-2</v>
      </c>
      <c r="D59" s="1685">
        <f>EDATE(C59,-1)</f>
        <v>43101</v>
      </c>
      <c r="E59" s="1685">
        <f t="shared" ref="E59:O59" si="16">EDATE(D59,-1)</f>
        <v>43070</v>
      </c>
      <c r="F59" s="1685">
        <f t="shared" si="16"/>
        <v>43040</v>
      </c>
      <c r="G59" s="1685">
        <f t="shared" si="16"/>
        <v>43009</v>
      </c>
      <c r="H59" s="1685">
        <f t="shared" si="16"/>
        <v>42979</v>
      </c>
      <c r="I59" s="1685">
        <f t="shared" si="16"/>
        <v>42948</v>
      </c>
      <c r="J59" s="1685">
        <f t="shared" si="16"/>
        <v>42917</v>
      </c>
      <c r="K59" s="1685">
        <f t="shared" si="16"/>
        <v>42887</v>
      </c>
      <c r="L59" s="1685">
        <f t="shared" si="16"/>
        <v>42856</v>
      </c>
      <c r="M59" s="1685">
        <f t="shared" si="16"/>
        <v>42826</v>
      </c>
      <c r="N59" s="1685">
        <f t="shared" si="16"/>
        <v>42795</v>
      </c>
      <c r="O59" s="1685">
        <f t="shared" si="16"/>
        <v>42767</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2018-2</v>
      </c>
      <c r="D52" s="1685">
        <f>EDATE(C52,-1)</f>
        <v>43101</v>
      </c>
      <c r="E52" s="1686">
        <f t="shared" ref="E52:O52" si="16">EDATE(D52,-1)</f>
        <v>43070</v>
      </c>
      <c r="F52" s="1686">
        <f t="shared" si="16"/>
        <v>43040</v>
      </c>
      <c r="G52" s="1686">
        <f t="shared" si="16"/>
        <v>43009</v>
      </c>
      <c r="H52" s="1686">
        <f t="shared" si="16"/>
        <v>42979</v>
      </c>
      <c r="I52" s="1686">
        <f t="shared" si="16"/>
        <v>42948</v>
      </c>
      <c r="J52" s="1686">
        <f t="shared" si="16"/>
        <v>42917</v>
      </c>
      <c r="K52" s="1686">
        <f t="shared" si="16"/>
        <v>42887</v>
      </c>
      <c r="L52" s="1686">
        <f t="shared" si="16"/>
        <v>42856</v>
      </c>
      <c r="M52" s="1686">
        <f t="shared" si="16"/>
        <v>42826</v>
      </c>
      <c r="N52" s="1686">
        <f t="shared" si="16"/>
        <v>42795</v>
      </c>
      <c r="O52" s="1686">
        <f t="shared" si="16"/>
        <v>42767</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62.1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381" t="s">
        <v>2366</v>
      </c>
      <c r="B14" s="614" t="s">
        <v>2510</v>
      </c>
      <c r="C14" s="1482"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估价对象所在区域基础设施水平——七通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99.75">
      <c r="A20" s="384"/>
      <c r="B20" s="616" t="s">
        <v>2511</v>
      </c>
      <c r="C20" s="1484" t="str">
        <f>IF(B1="工业",估价对象房地状况!G7,估价对象房地状况!C9)</f>
        <v>自然环境：陶然亭公园、北京大观园、万寿公园等；人文环境：古陶文明博物馆等，综合评价环境状况较好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2018-2</v>
      </c>
      <c r="D48" s="1685">
        <f>EDATE(C48,-1)</f>
        <v>43101</v>
      </c>
      <c r="E48" s="1685">
        <f t="shared" ref="E48:O48" si="16">EDATE(D48,-1)</f>
        <v>43070</v>
      </c>
      <c r="F48" s="1685">
        <f t="shared" si="16"/>
        <v>43040</v>
      </c>
      <c r="G48" s="1685">
        <f t="shared" si="16"/>
        <v>43009</v>
      </c>
      <c r="H48" s="1685">
        <f t="shared" si="16"/>
        <v>42979</v>
      </c>
      <c r="I48" s="1685">
        <f t="shared" si="16"/>
        <v>42948</v>
      </c>
      <c r="J48" s="1685">
        <f t="shared" si="16"/>
        <v>42917</v>
      </c>
      <c r="K48" s="1685">
        <f t="shared" si="16"/>
        <v>42887</v>
      </c>
      <c r="L48" s="1685">
        <f t="shared" si="16"/>
        <v>42856</v>
      </c>
      <c r="M48" s="1685">
        <f t="shared" si="16"/>
        <v>42826</v>
      </c>
      <c r="N48" s="1685">
        <f t="shared" si="16"/>
        <v>42795</v>
      </c>
      <c r="O48" s="1685">
        <f t="shared" si="16"/>
        <v>42767</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36">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估价对象为房地产，为所有。根据《不动产权证书》[]，估价对象建筑面积为62.1平方米，（分摊）出让国有建设用地使用权面积为平方米。估价对象用途为。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2018年2月9日（评估专业人员实地查勘之日）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62.1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71">
      <c r="A14" s="420" t="s">
        <v>2366</v>
      </c>
      <c r="B14" s="26" t="s">
        <v>2510</v>
      </c>
      <c r="C14" s="2486" t="str">
        <f>IF(B1="工业",估价对象房地状况!G4,估价对象房地状况!C6)</f>
        <v>估价对象紧邻城市支路——白纸坊街，临近地铁4号线（菜市口站），以估价对象为中心半径2公里范围内有10路、19路、40路、83路、395路等多条公交线路，综合评价交通便捷度较好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估价对象所在区域基础设施水平——七通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99.75">
      <c r="A20" s="409"/>
      <c r="B20" s="432" t="s">
        <v>2511</v>
      </c>
      <c r="C20" s="2413" t="str">
        <f>IF(B1="工业",估价对象房地状况!G7,估价对象房地状况!C9)</f>
        <v>自然环境：陶然亭公园、北京大观园、万寿公园等；人文环境：古陶文明博物馆等，综合评价环境状况较好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2018-2</v>
      </c>
      <c r="D46" s="1685">
        <f>EDATE(C46,-1)</f>
        <v>43101</v>
      </c>
      <c r="E46" s="1685">
        <f t="shared" ref="E46:O46" si="16">EDATE(D46,-1)</f>
        <v>43070</v>
      </c>
      <c r="F46" s="1685">
        <f t="shared" si="16"/>
        <v>43040</v>
      </c>
      <c r="G46" s="1685">
        <f t="shared" si="16"/>
        <v>43009</v>
      </c>
      <c r="H46" s="1685">
        <f t="shared" si="16"/>
        <v>42979</v>
      </c>
      <c r="I46" s="1685">
        <f t="shared" si="16"/>
        <v>42948</v>
      </c>
      <c r="J46" s="1685">
        <f t="shared" si="16"/>
        <v>42917</v>
      </c>
      <c r="K46" s="1685">
        <f t="shared" si="16"/>
        <v>42887</v>
      </c>
      <c r="L46" s="1685">
        <f t="shared" si="16"/>
        <v>42856</v>
      </c>
      <c r="M46" s="1685">
        <f t="shared" si="16"/>
        <v>42826</v>
      </c>
      <c r="N46" s="1685">
        <f t="shared" si="16"/>
        <v>42795</v>
      </c>
      <c r="O46" s="1685">
        <f t="shared" si="16"/>
        <v>42767</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43140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110</v>
      </c>
      <c r="G10" s="445"/>
      <c r="H10" s="52">
        <f>ROUND(100/'数据-取费表'!B14,0)</f>
        <v>110</v>
      </c>
      <c r="I10" s="445"/>
      <c r="J10" s="52">
        <f>ROUND(100/'数据-取费表'!B14,0)</f>
        <v>110</v>
      </c>
      <c r="K10" s="656"/>
      <c r="L10" s="1250"/>
      <c r="M10" s="1251"/>
      <c r="N10" s="1251"/>
      <c r="O10" s="1252"/>
      <c r="P10" s="3064"/>
      <c r="Q10" s="1893" t="str">
        <f t="shared" si="6"/>
        <v>土地使用年限（年）</v>
      </c>
      <c r="R10" s="750" t="s">
        <v>25</v>
      </c>
      <c r="S10" s="751">
        <f t="shared" si="0"/>
        <v>110</v>
      </c>
      <c r="T10" s="750" t="s">
        <v>25</v>
      </c>
      <c r="U10" s="751">
        <f t="shared" si="1"/>
        <v>110</v>
      </c>
      <c r="V10" s="750" t="s">
        <v>25</v>
      </c>
      <c r="W10" s="751">
        <f t="shared" si="2"/>
        <v>110</v>
      </c>
      <c r="X10" s="752"/>
      <c r="Y10" s="2875"/>
      <c r="Z10" s="23" t="str">
        <f t="shared" si="7"/>
        <v>土地使用年限（年）</v>
      </c>
      <c r="AA10" s="753">
        <f t="shared" si="3"/>
        <v>0.90909090909090906</v>
      </c>
      <c r="AB10" s="753">
        <f t="shared" si="4"/>
        <v>0.90909090909090906</v>
      </c>
      <c r="AC10" s="753">
        <f t="shared" si="5"/>
        <v>0.90909090909090906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56.75">
      <c r="A15" s="381" t="s">
        <v>2366</v>
      </c>
      <c r="B15" s="1489" t="s">
        <v>1742</v>
      </c>
      <c r="C15" s="2474" t="str">
        <f>估价对象房地状况!C15</f>
        <v>估价对象周边有新安中里小区、新安南里、恬心家园、建功东里、白纸坊中里、右安西里等居住小区，小区规模和社区发展完善程度较好，综合评价居住社区成熟度较好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71">
      <c r="A21" s="384"/>
      <c r="B21" s="1491" t="s">
        <v>2510</v>
      </c>
      <c r="C21" s="2475" t="str">
        <f>估价对象房地状况!C18</f>
        <v>估价对象紧邻城市支路——白纸坊街，临近地铁4号线（菜市口站），以估价对象为中心半径2公里范围内有10路、19路、40路、83路、395路等多条公交线路，综合评价交通便捷度较好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99.75">
      <c r="A25" s="384"/>
      <c r="B25" s="1493" t="s">
        <v>2551</v>
      </c>
      <c r="C25" s="2492" t="str">
        <f>估价对象房地状况!C20</f>
        <v>自然环境：陶然亭公园、北京大观园、万寿公园等；人文环境：古陶文明博物馆等，综合评价环境状况较好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估价对象所在区域基础设施水平——七通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0.7</v>
      </c>
      <c r="D57" s="1294">
        <v>0.25</v>
      </c>
      <c r="E57" s="678">
        <v>0</v>
      </c>
      <c r="F57" s="675" t="e">
        <f t="shared" si="15"/>
        <v>#DIV/0!</v>
      </c>
      <c r="G57" s="973">
        <f>SUMIF(修正!$A$45:$A$56,项目基本情况!$F$9,修正!B45:B56)</f>
        <v>0.7</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0.4</v>
      </c>
      <c r="D58" s="1294">
        <v>0.25</v>
      </c>
      <c r="E58" s="678">
        <v>0</v>
      </c>
      <c r="F58" s="675" t="e">
        <f t="shared" si="15"/>
        <v>#DIV/0!</v>
      </c>
      <c r="G58" s="973">
        <f>SUMIF(修正!$A$45:$A$56,项目基本情况!$F$9,修正!C45:C56)</f>
        <v>0.4</v>
      </c>
      <c r="H58" s="974"/>
      <c r="I58" s="1261"/>
      <c r="J58" s="1261"/>
      <c r="K58" s="1265"/>
      <c r="L58" s="1266"/>
      <c r="M58" s="1261"/>
      <c r="N58" s="1261"/>
      <c r="O58" s="972"/>
    </row>
    <row r="59" spans="1:15" s="676" customFormat="1">
      <c r="A59" s="677" t="s">
        <v>2570</v>
      </c>
      <c r="B59" s="179" t="e">
        <f t="shared" si="16"/>
        <v>#DIV/0!</v>
      </c>
      <c r="C59" s="118">
        <f t="shared" si="17"/>
        <v>0.28000000000000003</v>
      </c>
      <c r="D59" s="1294">
        <v>0.25</v>
      </c>
      <c r="E59" s="678">
        <v>0</v>
      </c>
      <c r="F59" s="675" t="e">
        <f t="shared" si="15"/>
        <v>#DIV/0!</v>
      </c>
      <c r="G59" s="973">
        <f>SUMIF(修正!$A$45:$A$56,项目基本情况!$F$9,修正!D45:D56)</f>
        <v>0.28000000000000003</v>
      </c>
      <c r="H59" s="974"/>
      <c r="I59" s="1259"/>
      <c r="J59" s="1264"/>
      <c r="K59" s="1260"/>
      <c r="L59" s="1260"/>
      <c r="M59" s="1259"/>
      <c r="N59" s="1259"/>
      <c r="O59" s="972"/>
    </row>
    <row r="60" spans="1:15" s="676" customFormat="1">
      <c r="A60" s="677" t="s">
        <v>2571</v>
      </c>
      <c r="B60" s="179" t="e">
        <f t="shared" si="16"/>
        <v>#DIV/0!</v>
      </c>
      <c r="C60" s="118">
        <f t="shared" si="17"/>
        <v>0.25</v>
      </c>
      <c r="D60" s="1294">
        <v>0.25</v>
      </c>
      <c r="E60" s="678">
        <v>0</v>
      </c>
      <c r="F60" s="675" t="e">
        <f t="shared" si="15"/>
        <v>#DIV/0!</v>
      </c>
      <c r="G60" s="973">
        <f>SUMIF(修正!$A$45:$A$56,项目基本情况!$F$9,修正!E45:E56)</f>
        <v>0.25</v>
      </c>
      <c r="H60" s="974"/>
      <c r="I60" s="1261"/>
      <c r="J60" s="1261"/>
      <c r="K60" s="1265"/>
      <c r="L60" s="1266"/>
      <c r="M60" s="1261"/>
      <c r="N60" s="1261"/>
      <c r="O60" s="972"/>
    </row>
    <row r="61" spans="1:15" s="676" customFormat="1">
      <c r="A61" s="677" t="s">
        <v>2572</v>
      </c>
      <c r="B61" s="179" t="e">
        <f t="shared" si="16"/>
        <v>#DIV/0!</v>
      </c>
      <c r="C61" s="118">
        <f t="shared" si="17"/>
        <v>0.25</v>
      </c>
      <c r="D61" s="1294">
        <v>0.25</v>
      </c>
      <c r="E61" s="678">
        <v>0</v>
      </c>
      <c r="F61" s="675" t="e">
        <f t="shared" si="15"/>
        <v>#DIV/0!</v>
      </c>
      <c r="G61" s="973">
        <f>SUMIF(修正!A45:A56,项目基本情况!F9,修正!F45:F56)</f>
        <v>0.25</v>
      </c>
      <c r="H61" s="974"/>
      <c r="I61" s="1259"/>
      <c r="J61" s="1264"/>
      <c r="K61" s="1260"/>
      <c r="L61" s="1260"/>
      <c r="M61" s="1259"/>
      <c r="N61" s="1259"/>
      <c r="O61" s="972"/>
    </row>
    <row r="62" spans="1:15" s="676" customFormat="1">
      <c r="A62" s="677" t="s">
        <v>2573</v>
      </c>
      <c r="B62" s="179" t="e">
        <f t="shared" si="16"/>
        <v>#DIV/0!</v>
      </c>
      <c r="C62" s="118">
        <f t="shared" si="17"/>
        <v>0.25</v>
      </c>
      <c r="D62" s="1294">
        <v>0.25</v>
      </c>
      <c r="E62" s="678">
        <v>0</v>
      </c>
      <c r="F62" s="675" t="e">
        <f t="shared" si="15"/>
        <v>#DIV/0!</v>
      </c>
      <c r="G62" s="973">
        <f>SUMIF(修正!A45:A56,项目基本情况!F9,修正!G45:G56)</f>
        <v>0.25</v>
      </c>
      <c r="H62" s="974"/>
      <c r="I62" s="1261"/>
      <c r="J62" s="1261"/>
      <c r="K62" s="1265"/>
      <c r="L62" s="1266"/>
      <c r="M62" s="1261"/>
      <c r="N62" s="1261"/>
      <c r="O62" s="972"/>
    </row>
    <row r="63" spans="1:15" s="676" customFormat="1">
      <c r="A63" s="677" t="s">
        <v>2574</v>
      </c>
      <c r="B63" s="179" t="e">
        <f t="shared" si="16"/>
        <v>#DIV/0!</v>
      </c>
      <c r="C63" s="118">
        <f>IF($C$55="北京市系数",G63,H63)</f>
        <v>0.2</v>
      </c>
      <c r="D63" s="1294">
        <v>0.25</v>
      </c>
      <c r="E63" s="678">
        <v>0</v>
      </c>
      <c r="F63" s="675" t="e">
        <f t="shared" si="15"/>
        <v>#DIV/0!</v>
      </c>
      <c r="G63" s="973">
        <f>SUMIF(修正!A45:A56,项目基本情况!F9,修正!H45:H56)</f>
        <v>0.2</v>
      </c>
      <c r="H63" s="974"/>
      <c r="I63" s="1259"/>
      <c r="J63" s="1264"/>
      <c r="K63" s="1260"/>
      <c r="L63" s="1260"/>
      <c r="M63" s="1259"/>
      <c r="N63" s="1259"/>
      <c r="O63" s="972"/>
    </row>
    <row r="64" spans="1:15" s="676" customFormat="1">
      <c r="A64" s="677" t="s">
        <v>2575</v>
      </c>
      <c r="B64" s="179" t="e">
        <f t="shared" si="16"/>
        <v>#DIV/0!</v>
      </c>
      <c r="C64" s="118">
        <f t="shared" si="17"/>
        <v>0.2</v>
      </c>
      <c r="D64" s="1294">
        <v>0.25</v>
      </c>
      <c r="E64" s="678">
        <v>0</v>
      </c>
      <c r="F64" s="675" t="e">
        <f t="shared" si="15"/>
        <v>#DIV/0!</v>
      </c>
      <c r="G64" s="973">
        <f>G63</f>
        <v>0.2</v>
      </c>
      <c r="H64" s="974"/>
      <c r="I64" s="1261"/>
      <c r="J64" s="1261"/>
      <c r="K64" s="1265"/>
      <c r="L64" s="1266"/>
      <c r="M64" s="1261"/>
      <c r="N64" s="1261"/>
      <c r="O64" s="972"/>
    </row>
    <row r="65" spans="1:17" s="676" customFormat="1">
      <c r="A65" s="677" t="s">
        <v>2576</v>
      </c>
      <c r="B65" s="179" t="e">
        <f t="shared" si="16"/>
        <v>#DIV/0!</v>
      </c>
      <c r="C65" s="118">
        <f t="shared" si="17"/>
        <v>0.2</v>
      </c>
      <c r="D65" s="1294">
        <v>0.25</v>
      </c>
      <c r="E65" s="678">
        <v>0</v>
      </c>
      <c r="F65" s="675" t="e">
        <f t="shared" si="15"/>
        <v>#DIV/0!</v>
      </c>
      <c r="G65" s="973">
        <f>G63</f>
        <v>0.2</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2018-2-1</v>
      </c>
      <c r="D68" s="1676">
        <f>EDATE(C68,-3)</f>
        <v>43040</v>
      </c>
      <c r="E68" s="1676">
        <f t="shared" ref="E68:O68" si="18">EDATE(D68,-3)</f>
        <v>42948</v>
      </c>
      <c r="F68" s="1676">
        <f t="shared" si="18"/>
        <v>42856</v>
      </c>
      <c r="G68" s="1676">
        <f t="shared" si="18"/>
        <v>42767</v>
      </c>
      <c r="H68" s="1676">
        <f t="shared" si="18"/>
        <v>42675</v>
      </c>
      <c r="I68" s="1676">
        <f t="shared" si="18"/>
        <v>42583</v>
      </c>
      <c r="J68" s="1676">
        <f t="shared" si="18"/>
        <v>42491</v>
      </c>
      <c r="K68" s="1676">
        <f t="shared" si="18"/>
        <v>42401</v>
      </c>
      <c r="L68" s="1676">
        <f t="shared" si="18"/>
        <v>42309</v>
      </c>
      <c r="M68" s="1676">
        <f t="shared" si="18"/>
        <v>42217</v>
      </c>
      <c r="N68" s="1676">
        <f t="shared" si="18"/>
        <v>42125</v>
      </c>
      <c r="O68" s="1676">
        <f t="shared" si="18"/>
        <v>42036</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2018-1</v>
      </c>
      <c r="D70" s="1677" t="str">
        <f>YEAR(D68)&amp;"-"&amp;ROUNDUP(MONTH(D68)/3,0)</f>
        <v>2017-4</v>
      </c>
      <c r="E70" s="1677" t="str">
        <f t="shared" ref="E70:O70" si="19">YEAR(E68)&amp;"-"&amp;ROUNDUP(MONTH(E68)/3,0)</f>
        <v>2017-3</v>
      </c>
      <c r="F70" s="1677" t="str">
        <f t="shared" si="19"/>
        <v>2017-2</v>
      </c>
      <c r="G70" s="1677" t="str">
        <f t="shared" si="19"/>
        <v>2017-1</v>
      </c>
      <c r="H70" s="1677" t="str">
        <f t="shared" si="19"/>
        <v>2016-4</v>
      </c>
      <c r="I70" s="1677" t="str">
        <f t="shared" si="19"/>
        <v>2016-3</v>
      </c>
      <c r="J70" s="1677" t="str">
        <f t="shared" si="19"/>
        <v>2016-2</v>
      </c>
      <c r="K70" s="1677" t="str">
        <f t="shared" si="19"/>
        <v>2016-1</v>
      </c>
      <c r="L70" s="1677" t="str">
        <f t="shared" si="19"/>
        <v>2015-4</v>
      </c>
      <c r="M70" s="1677" t="str">
        <f t="shared" si="19"/>
        <v>2015-3</v>
      </c>
      <c r="N70" s="1677" t="str">
        <f t="shared" si="19"/>
        <v>2015-2</v>
      </c>
      <c r="O70" s="1677" t="str">
        <f t="shared" si="19"/>
        <v>2015-1</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43140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110</v>
      </c>
      <c r="G10" s="413"/>
      <c r="H10" s="52">
        <f>ROUND(100/'数据-取费表'!B14,0)</f>
        <v>110</v>
      </c>
      <c r="I10" s="413"/>
      <c r="J10" s="52">
        <f>ROUND(100/'数据-取费表'!B14,0)</f>
        <v>110</v>
      </c>
      <c r="K10" s="656"/>
      <c r="L10" s="1250"/>
      <c r="M10" s="1251"/>
      <c r="N10" s="1251"/>
      <c r="O10" s="1252"/>
      <c r="P10" s="3064"/>
      <c r="Q10" s="1893" t="str">
        <f t="shared" si="6"/>
        <v>土地使用年限（年）</v>
      </c>
      <c r="R10" s="750" t="s">
        <v>25</v>
      </c>
      <c r="S10" s="751">
        <f t="shared" si="0"/>
        <v>110</v>
      </c>
      <c r="T10" s="750" t="s">
        <v>25</v>
      </c>
      <c r="U10" s="751">
        <f t="shared" si="1"/>
        <v>110</v>
      </c>
      <c r="V10" s="750" t="s">
        <v>25</v>
      </c>
      <c r="W10" s="751">
        <f t="shared" si="2"/>
        <v>110</v>
      </c>
      <c r="X10" s="752"/>
      <c r="Y10" s="2875"/>
      <c r="Z10" s="23" t="str">
        <f t="shared" si="7"/>
        <v>土地使用年限（年）</v>
      </c>
      <c r="AA10" s="753">
        <f t="shared" si="3"/>
        <v>0.90909090909090906</v>
      </c>
      <c r="AB10" s="753">
        <f t="shared" si="4"/>
        <v>0.90909090909090906</v>
      </c>
      <c r="AC10" s="753">
        <f t="shared" si="5"/>
        <v>0.90909090909090906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0.7</v>
      </c>
      <c r="D52" s="1294">
        <v>0.25</v>
      </c>
      <c r="E52" s="678">
        <v>0</v>
      </c>
      <c r="F52" s="675" t="e">
        <f t="shared" si="15"/>
        <v>#DIV/0!</v>
      </c>
      <c r="G52" s="973">
        <f>SUMIF(修正!$A$45:$A$56,项目基本情况!$F$9,修正!B45:B56)</f>
        <v>0.7</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0.4</v>
      </c>
      <c r="D53" s="1294">
        <v>0.25</v>
      </c>
      <c r="E53" s="678">
        <v>0</v>
      </c>
      <c r="F53" s="675" t="e">
        <f t="shared" si="15"/>
        <v>#DIV/0!</v>
      </c>
      <c r="G53" s="973">
        <f>SUMIF(修正!$A$45:$A$56,项目基本情况!$F$9,修正!C45:C56)</f>
        <v>0.4</v>
      </c>
      <c r="H53" s="974"/>
      <c r="I53" s="1261"/>
      <c r="J53" s="1264"/>
      <c r="K53" s="1260"/>
      <c r="L53" s="1260"/>
      <c r="M53" s="1259"/>
      <c r="N53" s="1259"/>
      <c r="O53" s="1259"/>
    </row>
    <row r="54" spans="1:17" s="676" customFormat="1">
      <c r="A54" s="677" t="s">
        <v>2570</v>
      </c>
      <c r="B54" s="179" t="e">
        <f t="shared" si="16"/>
        <v>#DIV/0!</v>
      </c>
      <c r="C54" s="118">
        <f t="shared" si="17"/>
        <v>0.28000000000000003</v>
      </c>
      <c r="D54" s="1294">
        <v>0.25</v>
      </c>
      <c r="E54" s="678">
        <v>0</v>
      </c>
      <c r="F54" s="675" t="e">
        <f t="shared" si="15"/>
        <v>#DIV/0!</v>
      </c>
      <c r="G54" s="973">
        <f>SUMIF(修正!$A$45:$A$56,项目基本情况!$F$9,修正!D45:D56)</f>
        <v>0.28000000000000003</v>
      </c>
      <c r="H54" s="974"/>
      <c r="I54" s="1259"/>
      <c r="J54" s="1264"/>
      <c r="K54" s="1260"/>
      <c r="L54" s="1260"/>
      <c r="M54" s="1259"/>
      <c r="N54" s="1259"/>
      <c r="O54" s="1259"/>
    </row>
    <row r="55" spans="1:17" s="676" customFormat="1">
      <c r="A55" s="677" t="s">
        <v>2571</v>
      </c>
      <c r="B55" s="179" t="e">
        <f t="shared" si="16"/>
        <v>#DIV/0!</v>
      </c>
      <c r="C55" s="118">
        <f t="shared" si="17"/>
        <v>0.25</v>
      </c>
      <c r="D55" s="1294">
        <v>0.25</v>
      </c>
      <c r="E55" s="678">
        <v>0</v>
      </c>
      <c r="F55" s="675" t="e">
        <f t="shared" si="15"/>
        <v>#DIV/0!</v>
      </c>
      <c r="G55" s="973">
        <f>SUMIF(修正!$A$45:$A$56,项目基本情况!$F$9,修正!E45:E56)</f>
        <v>0.25</v>
      </c>
      <c r="H55" s="974"/>
      <c r="I55" s="1261"/>
      <c r="J55" s="1264"/>
      <c r="K55" s="1260"/>
      <c r="L55" s="1260"/>
      <c r="M55" s="1259"/>
      <c r="N55" s="1259"/>
      <c r="O55" s="1259"/>
    </row>
    <row r="56" spans="1:17" s="676" customFormat="1">
      <c r="A56" s="677" t="s">
        <v>2572</v>
      </c>
      <c r="B56" s="179" t="e">
        <f t="shared" si="16"/>
        <v>#DIV/0!</v>
      </c>
      <c r="C56" s="118">
        <f t="shared" si="17"/>
        <v>0.2</v>
      </c>
      <c r="D56" s="1294">
        <v>0.25</v>
      </c>
      <c r="E56" s="678">
        <v>0</v>
      </c>
      <c r="F56" s="675" t="e">
        <f t="shared" si="15"/>
        <v>#DIV/0!</v>
      </c>
      <c r="G56" s="973">
        <f>SUMIF(修正!A40:A51,项目基本情况!F9,修正!F45:F56)</f>
        <v>0.2</v>
      </c>
      <c r="H56" s="974"/>
      <c r="I56" s="1259"/>
      <c r="J56" s="1264"/>
      <c r="K56" s="1260"/>
      <c r="L56" s="1260"/>
      <c r="M56" s="1259"/>
      <c r="N56" s="1259"/>
      <c r="O56" s="1259"/>
    </row>
    <row r="57" spans="1:17" s="676" customFormat="1">
      <c r="A57" s="677" t="s">
        <v>2573</v>
      </c>
      <c r="B57" s="179" t="e">
        <f t="shared" si="16"/>
        <v>#DIV/0!</v>
      </c>
      <c r="C57" s="118">
        <f t="shared" si="17"/>
        <v>0.2</v>
      </c>
      <c r="D57" s="1294">
        <v>0.25</v>
      </c>
      <c r="E57" s="678">
        <v>0</v>
      </c>
      <c r="F57" s="675" t="e">
        <f t="shared" si="15"/>
        <v>#DIV/0!</v>
      </c>
      <c r="G57" s="973">
        <f>SUMIF(修正!A40:A51,项目基本情况!F9,修正!G45:G56)</f>
        <v>0.2</v>
      </c>
      <c r="H57" s="974"/>
      <c r="I57" s="1261"/>
      <c r="J57" s="1264"/>
      <c r="K57" s="1260"/>
      <c r="L57" s="1260"/>
      <c r="M57" s="1259"/>
      <c r="N57" s="1259"/>
      <c r="O57" s="1259"/>
    </row>
    <row r="58" spans="1:17" s="676" customFormat="1">
      <c r="A58" s="677" t="s">
        <v>2574</v>
      </c>
      <c r="B58" s="179" t="e">
        <f t="shared" si="16"/>
        <v>#DIV/0!</v>
      </c>
      <c r="C58" s="118">
        <f t="shared" si="17"/>
        <v>0.15</v>
      </c>
      <c r="D58" s="1294">
        <v>0.25</v>
      </c>
      <c r="E58" s="678">
        <v>0</v>
      </c>
      <c r="F58" s="675" t="e">
        <f t="shared" si="15"/>
        <v>#DIV/0!</v>
      </c>
      <c r="G58" s="973">
        <f>SUMIF(修正!A40:A51,项目基本情况!F9,修正!H45:H56)</f>
        <v>0.15</v>
      </c>
      <c r="H58" s="974"/>
      <c r="I58" s="1259"/>
      <c r="J58" s="1264"/>
      <c r="K58" s="1260"/>
      <c r="L58" s="1260"/>
      <c r="M58" s="1259"/>
      <c r="N58" s="1259"/>
      <c r="O58" s="1259"/>
    </row>
    <row r="59" spans="1:17" s="676" customFormat="1">
      <c r="A59" s="677" t="s">
        <v>2575</v>
      </c>
      <c r="B59" s="179" t="e">
        <f t="shared" si="16"/>
        <v>#DIV/0!</v>
      </c>
      <c r="C59" s="118">
        <f t="shared" si="17"/>
        <v>0.15</v>
      </c>
      <c r="D59" s="1294">
        <v>0.25</v>
      </c>
      <c r="E59" s="678">
        <v>0</v>
      </c>
      <c r="F59" s="675" t="e">
        <f t="shared" si="15"/>
        <v>#DIV/0!</v>
      </c>
      <c r="G59" s="973">
        <f>G58</f>
        <v>0.15</v>
      </c>
      <c r="H59" s="974"/>
      <c r="I59" s="1261"/>
      <c r="J59" s="1264"/>
      <c r="K59" s="1260"/>
      <c r="L59" s="1260"/>
      <c r="M59" s="1259"/>
      <c r="N59" s="1259"/>
      <c r="O59" s="1259"/>
    </row>
    <row r="60" spans="1:17" s="676" customFormat="1">
      <c r="A60" s="677" t="s">
        <v>2576</v>
      </c>
      <c r="B60" s="179" t="e">
        <f t="shared" si="16"/>
        <v>#DIV/0!</v>
      </c>
      <c r="C60" s="118">
        <f t="shared" si="17"/>
        <v>0.15</v>
      </c>
      <c r="D60" s="1294">
        <v>0.25</v>
      </c>
      <c r="E60" s="678">
        <v>0</v>
      </c>
      <c r="F60" s="675" t="e">
        <f t="shared" si="15"/>
        <v>#DIV/0!</v>
      </c>
      <c r="G60" s="973">
        <f>G58</f>
        <v>0.15</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2018-2-1</v>
      </c>
      <c r="D63" s="1676">
        <f>EDATE(C63,-3)</f>
        <v>43040</v>
      </c>
      <c r="E63" s="1676">
        <f t="shared" ref="E63:O63" si="18">EDATE(D63,-3)</f>
        <v>42948</v>
      </c>
      <c r="F63" s="1676">
        <f t="shared" si="18"/>
        <v>42856</v>
      </c>
      <c r="G63" s="1676">
        <f t="shared" si="18"/>
        <v>42767</v>
      </c>
      <c r="H63" s="1676">
        <f t="shared" si="18"/>
        <v>42675</v>
      </c>
      <c r="I63" s="1676">
        <f t="shared" si="18"/>
        <v>42583</v>
      </c>
      <c r="J63" s="1676">
        <f t="shared" si="18"/>
        <v>42491</v>
      </c>
      <c r="K63" s="1676">
        <f t="shared" si="18"/>
        <v>42401</v>
      </c>
      <c r="L63" s="1676">
        <f t="shared" si="18"/>
        <v>42309</v>
      </c>
      <c r="M63" s="1676">
        <f t="shared" si="18"/>
        <v>42217</v>
      </c>
      <c r="N63" s="1676">
        <f t="shared" si="18"/>
        <v>42125</v>
      </c>
      <c r="O63" s="1676">
        <f t="shared" si="18"/>
        <v>42036</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2018-1</v>
      </c>
      <c r="D65" s="1677" t="str">
        <f t="shared" ref="D65:O65" si="19">YEAR(D63)&amp;"-"&amp;ROUNDUP(MONTH(D63)/3,0)</f>
        <v>2017-4</v>
      </c>
      <c r="E65" s="1677" t="str">
        <f t="shared" si="19"/>
        <v>2017-3</v>
      </c>
      <c r="F65" s="1677" t="str">
        <f t="shared" si="19"/>
        <v>2017-2</v>
      </c>
      <c r="G65" s="1677" t="str">
        <f t="shared" si="19"/>
        <v>2017-1</v>
      </c>
      <c r="H65" s="1677" t="str">
        <f t="shared" si="19"/>
        <v>2016-4</v>
      </c>
      <c r="I65" s="1677" t="str">
        <f t="shared" si="19"/>
        <v>2016-3</v>
      </c>
      <c r="J65" s="1677" t="str">
        <f t="shared" si="19"/>
        <v>2016-2</v>
      </c>
      <c r="K65" s="1677" t="str">
        <f t="shared" si="19"/>
        <v>2016-1</v>
      </c>
      <c r="L65" s="1677" t="str">
        <f t="shared" si="19"/>
        <v>2015-4</v>
      </c>
      <c r="M65" s="1677" t="str">
        <f t="shared" si="19"/>
        <v>2015-3</v>
      </c>
      <c r="N65" s="1677" t="str">
        <f t="shared" si="19"/>
        <v>2015-2</v>
      </c>
      <c r="O65" s="1677" t="str">
        <f t="shared" si="19"/>
        <v>2015-1</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t="str">
        <f>项目基本情况!F9</f>
        <v>三级</v>
      </c>
      <c r="H2" s="2519" t="s">
        <v>2611</v>
      </c>
      <c r="I2" s="2518" t="str">
        <f>项目基本情况!F10</f>
        <v>Ⅲ—10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t="str">
        <f>G2</f>
        <v>三级</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43140</v>
      </c>
      <c r="H19" s="2593" t="s">
        <v>2694</v>
      </c>
      <c r="I19" s="956" t="str">
        <f>IF(H19="季度增幅（自定义）",SUMIF(N21:N24,E2,O21:O24),"")</f>
        <v/>
      </c>
      <c r="J19" s="2589"/>
      <c r="K19" s="2590"/>
      <c r="L19" s="2594" t="s">
        <v>2695</v>
      </c>
      <c r="M19" s="1832">
        <f>ROUND(SUMIF(地价!B2:F2,E2,地价!B19:F19),0)</f>
        <v>0</v>
      </c>
      <c r="N19" s="1468" t="s">
        <v>2696</v>
      </c>
      <c r="O19" s="957">
        <f>ROUNDDOWN(DATEDIF(E19,G19,"M")/3,0)</f>
        <v>16</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48</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t="e">
        <f>ROUND(IF(G3&gt;1,IF(I3&lt;7,SUMPRODUCT((B93:B98=I3)*(C92:N92=G2)*(C93:N98)),SUMIF(C92:N92,G2,C100:N100)),IF(I3&lt;7,SUMPRODUCT((B102:B107=I3)*(C92:N92=G2)*(C102:N107)),SUMIF(C92:N92,G2,C109:N109))),4)</f>
        <v>#DIV/0!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0.7</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0.4</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0.28000000000000003</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0.25</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0.25</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0.25</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0.2</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估价对象紧邻城市支路——白纸坊街，临近地铁4号线（菜市口站），以估价对象为中心半径2公里范围内有10路、19路、40路、83路、395路等多条公交线路，综合评价交通便捷度较好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城市支路——白纸坊街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估价对象所在区域基础设施水平——七通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64.5" thickBot="1">
      <c r="A56" s="2686" t="s">
        <v>2769</v>
      </c>
      <c r="B56" s="2687" t="str">
        <f>估价对象房地状况!C20</f>
        <v>自然环境：陶然亭公园、北京大观园、万寿公园等；人文环境：古陶文明博物馆等，综合评价环境状况较好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估价对象紧邻城市支路——白纸坊街，临近地铁4号线（菜市口站），以估价对象为中心半径2公里范围内有10路、19路、40路、83路、395路等多条公交线路，综合评价交通便捷度较好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城市支路——白纸坊街</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估价对象所在区域基础设施水平——七通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64.5" thickBot="1">
      <c r="A67" s="2686" t="s">
        <v>2769</v>
      </c>
      <c r="B67" s="2689" t="str">
        <f>估价对象房地状况!C20</f>
        <v>自然环境：陶然亭公园、北京大观园、万寿公园等；人文环境：古陶文明博物馆等，综合评价环境状况较好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估价对象周边有新安中里小区、新安南里、恬心家园、建功东里、白纸坊中里、右安西里等居住小区，小区规模和社区发展完善程度较好，综合评价居住社区成熟度较好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估价对象紧邻城市支路——白纸坊街，临近地铁4号线（菜市口站），以估价对象为中心半径2公里范围内有10路、19路、40路、83路、395路等多条公交线路，综合评价交通便捷度较好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城市支路——白纸坊街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估价对象所在区域基础设施水平——七通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63.75">
      <c r="A77" s="2677" t="s">
        <v>2769</v>
      </c>
      <c r="B77" s="2680" t="str">
        <f>估价对象房地状况!C20</f>
        <v>自然环境：陶然亭公园、北京大观园、万寿公园等；人文环境：古陶文明博物馆等，综合评价环境状况较好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t="str">
        <f>G2</f>
        <v>三级</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估价对象紧邻城市支路——白纸坊街，临近地铁4号线（菜市口站），以估价对象为中心半径2公里范围内有10路、19路、40路、83路、395路等多条公交线路，综合评价交通便捷度较好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城市支路——白纸坊街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自然环境：陶然亭公园、北京大观园、万寿公园等；人文环境：古陶文明博物馆等，综合评价环境状况较好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估价对象紧邻城市支路——白纸坊街，临近地铁4号线（菜市口站），以估价对象为中心半径2公里范围内有10路、19路、40路、83路、395路等多条公交线路，综合评价交通便捷度较好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城市支路——白纸坊街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自然环境：陶然亭公园、北京大观园、万寿公园等；人文环境：古陶文明博物馆等，综合评价环境状况较好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48">
      <c r="A26" s="821" t="s">
        <v>723</v>
      </c>
      <c r="B26" s="827" t="str">
        <f>估价对象房地状况!C3</f>
        <v>估价对象周边有新安中里小区、新安南里、恬心家园、建功东里、白纸坊中里、右安西里等居住小区，小区规模和社区发展完善程度较好，综合评价居住社区成熟度较好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估价对象紧邻城市支路——白纸坊街，临近地铁4号线（菜市口站），以估价对象为中心半径2公里范围内有10路、19路、40路、83路、395路等多条公交线路，综合评价交通便捷度较好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城市支路——白纸坊街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自然环境：陶然亭公园、北京大观园、万寿公园等；人文环境：古陶文明博物馆等，综合评价环境状况较好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62.1</v>
      </c>
      <c r="D6" s="2769"/>
      <c r="E6" s="1933"/>
    </row>
    <row r="7" spans="1:5" ht="14.25">
      <c r="A7" s="1933"/>
      <c r="B7" s="2763" t="s">
        <v>785</v>
      </c>
      <c r="C7" s="1939" t="str">
        <f>IF('数据-取费表'!B3="万元","总价（万元）","总价（元）")</f>
        <v>总价（元）</v>
      </c>
      <c r="D7" s="1940">
        <f ca="1">IF('数据-取费表'!E3="否",结果表!I102,'结果表 (1修多)'!I103)</f>
        <v>5645511</v>
      </c>
      <c r="E7" s="1933"/>
    </row>
    <row r="8" spans="1:5" ht="28.5">
      <c r="A8" s="1933"/>
      <c r="B8" s="2763"/>
      <c r="C8" s="1941" t="s">
        <v>1179</v>
      </c>
      <c r="D8" s="1942" t="str">
        <f ca="1">IF('数据-取费表'!B3="万元",NUMBERSTRING(INT(D7*10000),2)&amp;"元整",NUMBERSTRING(INT(D7),2)&amp;"元整")</f>
        <v>伍佰陆拾肆万伍仟伍佰壹拾壹元整</v>
      </c>
      <c r="E8" s="1933"/>
    </row>
    <row r="9" spans="1:5" ht="14.25">
      <c r="A9" s="1933"/>
      <c r="B9" s="2763"/>
      <c r="C9" s="1943" t="s">
        <v>1277</v>
      </c>
      <c r="D9" s="1940">
        <f ca="1">IF('数据-取费表'!E3="否",结果表!I103,'结果表 (1修多)'!I104)</f>
        <v>90910</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5645511</v>
      </c>
      <c r="E15" s="1933"/>
    </row>
    <row r="16" spans="1:5" ht="28.5">
      <c r="A16" s="1933"/>
      <c r="B16" s="2770"/>
      <c r="C16" s="1941" t="s">
        <v>1179</v>
      </c>
      <c r="D16" s="1940" t="str">
        <f ca="1">IF('数据-取费表'!B3="万元",NUMBERSTRING(INT(D15*10000),2)&amp;"元整",NUMBERSTRING(INT(D15),2)&amp;"元整")</f>
        <v>伍佰陆拾肆万伍仟伍佰壹拾壹元整</v>
      </c>
      <c r="E16" s="1933"/>
    </row>
    <row r="17" spans="1:5" ht="14.25">
      <c r="A17" s="1933"/>
      <c r="B17" s="2770"/>
      <c r="C17" s="1943" t="s">
        <v>1277</v>
      </c>
      <c r="D17" s="1940">
        <f ca="1">IF('数据-取费表'!E3="否",结果表!I111,'结果表 (1修多)'!I112)</f>
        <v>90910</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5645511</v>
      </c>
      <c r="E28" s="1933"/>
    </row>
    <row r="29" spans="1:5" ht="28.5">
      <c r="A29" s="1933"/>
      <c r="B29" s="2772"/>
      <c r="C29" s="1952" t="s">
        <v>1179</v>
      </c>
      <c r="D29" s="1953" t="str">
        <f ca="1">IF('数据-取费表'!B3="万元",NUMBERSTRING(INT(D28*10000),2)&amp;"元整",NUMBERSTRING(INT(D28),2)&amp;"元整")</f>
        <v>伍佰陆拾肆万伍仟伍佰壹拾壹元整</v>
      </c>
      <c r="E29" s="1933"/>
    </row>
    <row r="30" spans="1:5" ht="14.25">
      <c r="A30" s="1933"/>
      <c r="B30" s="2773"/>
      <c r="C30" s="1943" t="s">
        <v>1182</v>
      </c>
      <c r="D30" s="1954">
        <f ca="1">IF('数据-取费表'!E3="否",结果表!I103,'结果表 (1修多)'!I104)</f>
        <v>90910</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5645511</v>
      </c>
      <c r="E36" s="1933"/>
    </row>
    <row r="37" spans="1:5" ht="28.5">
      <c r="A37" s="1933"/>
      <c r="B37" s="2774"/>
      <c r="C37" s="1952" t="s">
        <v>1179</v>
      </c>
      <c r="D37" s="1957" t="str">
        <f ca="1">IF('数据-取费表'!B3="万元",NUMBERSTRING(INT(D36*10000),2)&amp;"元整",NUMBERSTRING(INT(D36),2)&amp;"元整")</f>
        <v>伍佰陆拾肆万伍仟伍佰壹拾壹元整</v>
      </c>
      <c r="E37" s="1933"/>
    </row>
    <row r="38" spans="1:5" ht="14.25">
      <c r="A38" s="1933"/>
      <c r="B38" s="2774"/>
      <c r="C38" s="1943" t="s">
        <v>1183</v>
      </c>
      <c r="D38" s="1954">
        <f ca="1">IF('数据-取费表'!E3="否",结果表!D113,'结果表 (1修多)'!D116)</f>
        <v>90910</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43140</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62.1</v>
      </c>
      <c r="C4" s="1050">
        <f>结果表!C121</f>
        <v>0</v>
      </c>
      <c r="D4" s="1050">
        <f ca="1">IF('数据-取费表'!E3="否",结果表!D121,'结果表 (1修多)'!D124)</f>
        <v>5210811</v>
      </c>
      <c r="E4" s="1050">
        <f ca="1">IF('数据-取费表'!E3="否",结果表!E121,'结果表 (1修多)'!E124)</f>
        <v>83910</v>
      </c>
      <c r="F4" s="1050">
        <f ca="1">IF('数据-取费表'!E3="否",结果表!F121,'结果表 (1修多)'!F124)</f>
        <v>434700</v>
      </c>
      <c r="G4" s="1050">
        <f ca="1">IF('数据-取费表'!E3="否",结果表!G121,'结果表 (1修多)'!G124)</f>
        <v>7000</v>
      </c>
      <c r="H4" s="1050">
        <f ca="1">IF('数据-取费表'!E3="否",结果表!H121,'结果表 (1修多)'!H124)</f>
        <v>5645511</v>
      </c>
      <c r="I4" s="1050">
        <f ca="1">IF('数据-取费表'!E3="否",结果表!I121,'结果表 (1修多)'!I124)</f>
        <v>90910</v>
      </c>
    </row>
    <row r="5" spans="1:9" ht="15">
      <c r="A5" s="2788" t="s">
        <v>1287</v>
      </c>
      <c r="B5" s="2788"/>
      <c r="C5" s="2788"/>
      <c r="D5" s="2786" t="str">
        <f ca="1">IF('数据-取费表'!E3="否",结果表!D122,'结果表 (1修多)'!D125)</f>
        <v>伍佰贰拾壹万零捌佰壹拾壹元整</v>
      </c>
      <c r="E5" s="2786"/>
      <c r="F5" s="2786" t="str">
        <f ca="1">IF('数据-取费表'!E3="否",结果表!F122,'结果表 (1修多)'!F125)</f>
        <v>肆拾叁万肆仟柒佰元整</v>
      </c>
      <c r="G5" s="2786"/>
      <c r="H5" s="2786" t="str">
        <f ca="1">IF('数据-取费表'!E3="否",结果表!H122,'结果表 (1修多)'!H125)</f>
        <v>伍佰陆拾肆万伍仟伍佰壹拾壹元整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5645511</v>
      </c>
      <c r="E8" s="2787"/>
      <c r="F8" s="2787"/>
      <c r="G8" s="2787"/>
      <c r="H8" s="2787"/>
      <c r="I8" s="2787"/>
    </row>
    <row r="9" spans="1:9" ht="15">
      <c r="A9" s="2788" t="s">
        <v>1287</v>
      </c>
      <c r="B9" s="2788"/>
      <c r="C9" s="2788"/>
      <c r="D9" s="2786">
        <f ca="1">IF('数据-取费表'!E3="否",结果表!D126,'结果表 (1修多)'!D129)</f>
        <v>90910</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43179</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本次估价的“房地产价值”是指在正常市场情况下，在价值时点2018年2月9日，估价对象规划用途为，假定未设立法定优先受偿款下的房地产市场价值。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酒店收入计算</vt:lpstr>
      <vt:lpstr>典型户型修正</vt:lpstr>
      <vt:lpstr>收益法</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2018-03-20T01:23:52Z</dcterms:modified>
</cp:coreProperties>
</file>