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3-1-0672北京市顺义区南法信区刘家河村顺余东路1号\"/>
    </mc:Choice>
  </mc:AlternateContent>
  <xr:revisionPtr revIDLastSave="0" documentId="13_ncr:1_{D65B36E9-F8AD-43DA-9FA5-C6B72F1D63FD}" xr6:coauthVersionLast="45" xr6:coauthVersionMax="45" xr10:uidLastSave="{00000000-0000-0000-0000-000000000000}"/>
  <bookViews>
    <workbookView xWindow="0" yWindow="1350" windowWidth="11805" windowHeight="1215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待开发" sheetId="12" state="hidden" r:id="rId17"/>
    <sheet name="结果汇总表" sheetId="72" r:id="rId18"/>
    <sheet name="剩余法-现房" sheetId="43" state="hidden" r:id="rId19"/>
    <sheet name="不动产收益法" sheetId="15" state="hidden" r:id="rId20"/>
    <sheet name="比较法-住宅、综合" sheetId="39" state="hidden" r:id="rId21"/>
    <sheet name="比较法-公开" sheetId="40" state="hidden" r:id="rId22"/>
    <sheet name="比较法-特殊（何金峰）" sheetId="83" state="hidden" r:id="rId23"/>
    <sheet name="比较法-划拨" sheetId="88" r:id="rId24"/>
    <sheet name="新案例整理1024" sheetId="92" r:id="rId25"/>
    <sheet name="成本逼近法 (搭配划拨)" sheetId="90" r:id="rId26"/>
    <sheet name="比较法-成本 (搭配划拨)" sheetId="91" r:id="rId27"/>
    <sheet name="比较法-出让" sheetId="93" state="hidden" r:id="rId28"/>
    <sheet name="成本案例" sheetId="74" r:id="rId29"/>
    <sheet name="成本逼近法" sheetId="11" r:id="rId30"/>
    <sheet name="常用公式" sheetId="69" r:id="rId31"/>
    <sheet name="比较法-成本" sheetId="85" r:id="rId32"/>
    <sheet name="Sheet7" sheetId="95" r:id="rId33"/>
    <sheet name="比较法案例（ppt）" sheetId="89" r:id="rId34"/>
    <sheet name="征收腾退案例（何金峰）" sheetId="84" state="hidden" r:id="rId35"/>
    <sheet name="公开市场案例" sheetId="77" r:id="rId36"/>
    <sheet name="基准地价" sheetId="46" r:id="rId37"/>
    <sheet name="修正" sheetId="49" state="hidden" r:id="rId38"/>
    <sheet name="区片价" sheetId="48" state="hidden" r:id="rId39"/>
    <sheet name="区片价-范围" sheetId="71" state="hidden" r:id="rId40"/>
    <sheet name="容积率修正" sheetId="45" state="hidden" r:id="rId41"/>
    <sheet name="因素修正幅度" sheetId="56" state="hidden" r:id="rId42"/>
    <sheet name="地价" sheetId="59" r:id="rId43"/>
    <sheet name="地价-分区" sheetId="70" r:id="rId44"/>
    <sheet name="基准地价（汇总）" sheetId="67" state="hidden" r:id="rId45"/>
    <sheet name="收益还原法" sheetId="44" state="hidden" r:id="rId46"/>
    <sheet name="不动产收益法-酒店模型" sheetId="68" state="hidden" r:id="rId47"/>
    <sheet name="不动产比较法-住宅" sheetId="21" state="hidden" r:id="rId48"/>
    <sheet name="不动产比较法-商业" sheetId="33" state="hidden" r:id="rId49"/>
    <sheet name="不动产比较法-办公" sheetId="34" state="hidden"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 name="顺义土地案例" sheetId="73" r:id="rId56"/>
    <sheet name="Sheet1" sheetId="75" r:id="rId57"/>
    <sheet name="市场案例贴表" sheetId="87" r:id="rId58"/>
    <sheet name="Sheet3" sheetId="86" r:id="rId59"/>
    <sheet name="Sheet2" sheetId="76" r:id="rId60"/>
    <sheet name="其他增值收益" sheetId="78" r:id="rId61"/>
    <sheet name="大兴" sheetId="79" r:id="rId62"/>
    <sheet name="亦庄" sheetId="80" r:id="rId63"/>
    <sheet name="房山" sheetId="82" r:id="rId64"/>
  </sheets>
  <externalReferences>
    <externalReference r:id="rId65"/>
    <externalReference r:id="rId66"/>
    <externalReference r:id="rId67"/>
    <externalReference r:id="rId68"/>
    <externalReference r:id="rId69"/>
    <externalReference r:id="rId70"/>
    <externalReference r:id="rId71"/>
  </externalReferences>
  <definedNames>
    <definedName name="_xlnm._FilterDatabase" localSheetId="31" hidden="1">'比较法-成本'!$A$1:$L$45</definedName>
    <definedName name="_xlnm._FilterDatabase" localSheetId="26" hidden="1">'比较法-成本 (搭配划拨)'!$A$1:$L$45</definedName>
    <definedName name="_xlnm._FilterDatabase" localSheetId="27" hidden="1">'比较法-出让'!$A$1:$L$45</definedName>
    <definedName name="_xlnm._FilterDatabase" localSheetId="21" hidden="1">'比较法-公开'!$A$1:$L$45</definedName>
    <definedName name="_xlnm._FilterDatabase" localSheetId="23" hidden="1">'比较法-划拨'!$A$1:$L$45</definedName>
    <definedName name="_xlnm._FilterDatabase" localSheetId="22" hidden="1">'比较法-特殊（何金峰）'!$A$1:$L$45</definedName>
    <definedName name="_xlnm._FilterDatabase" localSheetId="20" hidden="1">'比较法-住宅、综合'!$A$1:$L$50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4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'比较法-成本'!$A$1:$K$62,'比较法-成本'!$A$65:$N$122</definedName>
    <definedName name="_xlnm.Print_Area" localSheetId="26">'比较法-成本 (搭配划拨)'!$A$1:$K$62,'比较法-成本 (搭配划拨)'!$A$65:$N$122</definedName>
    <definedName name="_xlnm.Print_Area" localSheetId="27">'比较法-出让'!$A$1:$K$62,'比较法-出让'!$A$65:$N$122</definedName>
    <definedName name="_xlnm.Print_Area" localSheetId="21">'比较法-公开'!$A$1:$K$62,'比较法-公开'!$A$65:$N$122</definedName>
    <definedName name="_xlnm.Print_Area" localSheetId="23">'比较法-划拨'!$A$1:$K$62,'比较法-划拨'!$A$65:$N$122</definedName>
    <definedName name="_xlnm.Print_Area" localSheetId="22">'比较法-特殊（何金峰）'!$A$1:$K$62,'比较法-特殊（何金峰）'!$A$65:$N$122</definedName>
    <definedName name="_xlnm.Print_Area" localSheetId="20">'比较法-住宅、综合'!$A$1:$K$66,'比较法-住宅、综合'!$A$70:$N$133</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47">'不动产比较法-住宅'!$A$1:$K$54,'不动产比较法-住宅'!$A$57:$M$131</definedName>
    <definedName name="_xlnm.Print_Area" localSheetId="19">不动产收益法!$A$1:$F$43,不动产收益法!$H$3:$M$29,不动产收益法!$A$46:$F$70,不动产收益法!$I$46:$M$60</definedName>
    <definedName name="_xlnm.Print_Area" localSheetId="29">成本逼近法!$A$1:$G$23</definedName>
    <definedName name="_xlnm.Print_Area" localSheetId="25">'成本逼近法 (搭配划拨)'!$A$1:$G$23</definedName>
    <definedName name="_xlnm.Print_Area" localSheetId="13">估价对象房地状况!$A$1:$G$24</definedName>
    <definedName name="_xlnm.Print_Area" localSheetId="7">估价师及机构信息!$A$1:$F$23</definedName>
    <definedName name="_xlnm.Print_Area" localSheetId="36">基准地价!$A$1:$J$44,基准地价!$A$47:$N$103,基准地价!$R$1:$V$16</definedName>
    <definedName name="_xlnm.Print_Area" localSheetId="44">'基准地价（汇总）'!$A$1:$F$14</definedName>
    <definedName name="_xlnm.Print_Area" localSheetId="15">结果表!$A$1:$I$46,结果表!$K$25:$O$44,结果表!$A$62:$I$115,结果表!$K$64:$P$81</definedName>
    <definedName name="_xlnm.Print_Area" localSheetId="16">'剩余法-待开发'!$A$1:$K$36</definedName>
    <definedName name="_xlnm.Print_Area" localSheetId="18">'剩余法-现房'!$A$1:$K$27</definedName>
    <definedName name="_xlnm.Print_Area" localSheetId="45">收益还原法!$A$1:$F$46,收益还原法!$H$3:$M$31,收益还原法!$I$47:$M$61</definedName>
    <definedName name="_xlnm.Print_Area" localSheetId="11">'数据-汇总表'!$A$1:$P$32</definedName>
    <definedName name="_xlnm.Print_Area" localSheetId="14">系统读取表!$A$1:$J$26</definedName>
    <definedName name="_xlnm.Print_Area" localSheetId="9">项目基本情况!$A$1:$J$44</definedName>
    <definedName name="八级">区片价!$Q$1:$Q$44</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[1]修正!$C$17:$C$39</definedName>
    <definedName name="二级分类">修正!$C$19:$C$51</definedName>
    <definedName name="法定最高年限" localSheetId="17">[1]定义!$G$2:$G$4</definedName>
    <definedName name="法定最高年限">定义!$G$2:$G$5</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判定" localSheetId="17">[1]定义!$D$1:$D$4</definedName>
    <definedName name="判定">[2]定义!$D$1:$D$4</definedName>
    <definedName name="七级">区片价!$P$1:$P$45</definedName>
    <definedName name="七通一平" localSheetId="17">[1]修正!$A$6:$A$14</definedName>
    <definedName name="七通一平">修正!$A$8:$A$16</definedName>
    <definedName name="区域土地利用方向" localSheetId="17">[1]定义!$P$1:$P$6</definedName>
    <definedName name="区域土地利用方向">定义!$P$1:$P$6</definedName>
    <definedName name="三级">区片价!$L$1:$L$26</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修正!$C$71:$C$139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31">'比较法-成本'!$B$115:$M$115</definedName>
    <definedName name="套工工程地质条件" localSheetId="26">'比较法-成本 (搭配划拨)'!$B$115:$M$115</definedName>
    <definedName name="套工工程地质条件" localSheetId="27">'比较法-出让'!$B$115:$M$115</definedName>
    <definedName name="套工工程地质条件" localSheetId="23">'比较法-划拨'!$B$115:$M$115</definedName>
    <definedName name="套工工程地质条件" localSheetId="22">'比较法-特殊（何金峰）'!$B$115:$M$115</definedName>
    <definedName name="套工工程地质条件" localSheetId="17">'[1]比较法-工业'!$B$116:$M$116</definedName>
    <definedName name="套工工程地质条件">'比较法-公开'!$B$115:$M$115</definedName>
    <definedName name="套工交易情况" localSheetId="17">'[1]比较法-住宅、综合'!$A$75:$M$75</definedName>
    <definedName name="套工交易情况">'比较法-住宅、综合'!$A$74:$M$74</definedName>
    <definedName name="套工开发程度" localSheetId="31">'比较法-成本'!$B$113:$M$113</definedName>
    <definedName name="套工开发程度" localSheetId="26">'比较法-成本 (搭配划拨)'!$B$113:$M$113</definedName>
    <definedName name="套工开发程度" localSheetId="27">'比较法-出让'!$B$113:$M$113</definedName>
    <definedName name="套工开发程度" localSheetId="23">'比较法-划拨'!$B$113:$M$113</definedName>
    <definedName name="套工开发程度" localSheetId="22">'比较法-特殊（何金峰）'!$B$113:$M$113</definedName>
    <definedName name="套工开发程度" localSheetId="17">'[1]比较法-工业'!$B$114:$M$114</definedName>
    <definedName name="套工开发程度">'比较法-公开'!$B$113:$M$113</definedName>
    <definedName name="套工临街等级" localSheetId="31">'比较法-成本'!$B$98:$M$98</definedName>
    <definedName name="套工临街等级" localSheetId="26">'比较法-成本 (搭配划拨)'!$B$98:$M$98</definedName>
    <definedName name="套工临街等级" localSheetId="27">'比较法-出让'!$B$98:$M$98</definedName>
    <definedName name="套工临街等级" localSheetId="23">'比较法-划拨'!$B$98:$M$98</definedName>
    <definedName name="套工临街等级" localSheetId="22">'比较法-特殊（何金峰）'!$B$98:$M$98</definedName>
    <definedName name="套工临街等级" localSheetId="17">'[1]比较法-工业'!$B$99:$M$99</definedName>
    <definedName name="套工临街等级">'比较法-公开'!$B$98:$M$98</definedName>
    <definedName name="套工土地级别" localSheetId="31">'比较法-成本'!$B$100:$M$100</definedName>
    <definedName name="套工土地级别" localSheetId="26">'比较法-成本 (搭配划拨)'!$B$100:$M$100</definedName>
    <definedName name="套工土地级别" localSheetId="27">'比较法-出让'!$B$100:$M$100</definedName>
    <definedName name="套工土地级别" localSheetId="23">'比较法-划拨'!$B$100:$M$100</definedName>
    <definedName name="套工土地级别" localSheetId="22">'比较法-特殊（何金峰）'!$B$100:$M$100</definedName>
    <definedName name="套工土地级别" localSheetId="17">'[1]比较法-工业'!$B$101:$M$101</definedName>
    <definedName name="套工土地级别">'比较法-公开'!$B$100:$M$100</definedName>
    <definedName name="套工用途" localSheetId="31">'比较法-成本'!$B$71:$M$71</definedName>
    <definedName name="套工用途" localSheetId="26">'比较法-成本 (搭配划拨)'!$B$71:$M$71</definedName>
    <definedName name="套工用途" localSheetId="27">'比较法-出让'!$B$71:$M$71</definedName>
    <definedName name="套工用途" localSheetId="23">'比较法-划拨'!$B$71:$M$71</definedName>
    <definedName name="套工用途" localSheetId="22">'比较法-特殊（何金峰）'!$B$71:$M$71</definedName>
    <definedName name="套工用途" localSheetId="17">'[1]比较法-工业'!$B$72:$M$72</definedName>
    <definedName name="套工用途">'比较法-公开'!$B$71:$M$71</definedName>
    <definedName name="套工宗地形状" localSheetId="31">'比较法-成本'!$B$111:$M$111</definedName>
    <definedName name="套工宗地形状" localSheetId="26">'比较法-成本 (搭配划拨)'!$B$111:$M$111</definedName>
    <definedName name="套工宗地形状" localSheetId="27">'比较法-出让'!$B$111:$M$111</definedName>
    <definedName name="套工宗地形状" localSheetId="23">'比较法-划拨'!$B$111:$M$111</definedName>
    <definedName name="套工宗地形状" localSheetId="22">'比较法-特殊（何金峰）'!$B$111:$M$111</definedName>
    <definedName name="套工宗地形状" localSheetId="17">'[1]比较法-工业'!$B$112:$M$112</definedName>
    <definedName name="套工宗地形状">'比较法-公开'!$B$111:$M$111</definedName>
    <definedName name="套综道路等级" localSheetId="17">'[1]比较法-住宅、综合'!$B$108:$M$108</definedName>
    <definedName name="套综道路等级">'比较法-住宅、综合'!$B$107:$M$107</definedName>
    <definedName name="套综工程地质条件" localSheetId="17">'[1]比较法-住宅、综合'!$B$127:$M$127</definedName>
    <definedName name="套综工程地质条件">'比较法-住宅、综合'!$B$126:$M$126</definedName>
    <definedName name="套综交易情况" localSheetId="17">'[1]比较法-住宅、综合'!$A$75:$M$75</definedName>
    <definedName name="套综交易情况">'比较法-住宅、综合'!$A$74:$M$74</definedName>
    <definedName name="套综临街宽度及深度" localSheetId="17">'[1]比较法-住宅、综合'!$B$123:$M$123</definedName>
    <definedName name="套综临街宽度及深度">'比较法-住宅、综合'!$B$122:$M$122</definedName>
    <definedName name="套综土地级别" localSheetId="17">'[1]比较法-住宅、综合'!$B$110:$M$110</definedName>
    <definedName name="套综土地级别">'比较法-住宅、综合'!$B$109:$M$109</definedName>
    <definedName name="套综用途" localSheetId="17">'[1]比较法-住宅、综合'!$B$77:$M$77</definedName>
    <definedName name="套综用途">'比较法-住宅、综合'!$B$76:$M$76</definedName>
    <definedName name="套综宗地内开发程度" localSheetId="17">'[1]比较法-住宅、综合'!$B$125:$M$125</definedName>
    <definedName name="套综宗地内开发程度">'比较法-住宅、综合'!$B$124:$M$124</definedName>
    <definedName name="套综宗地形状" localSheetId="17">'[1]比较法-住宅、综合'!$B$121:$M$121</definedName>
    <definedName name="套综宗地形状">'比较法-住宅、综合'!$B$120:$M$120</definedName>
    <definedName name="土地估价师" localSheetId="17">[1]估价师及机构信息!$D$3:$D$16</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46">'[3]数据-汇总表'!$C$17:$C$26</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0" i="88" l="1"/>
  <c r="E110" i="88" s="1"/>
  <c r="D110" i="91"/>
  <c r="E110" i="91" s="1"/>
  <c r="F110" i="91" s="1"/>
  <c r="I43" i="91"/>
  <c r="I43" i="88" l="1"/>
  <c r="G43" i="88"/>
  <c r="I36" i="88"/>
  <c r="G36" i="88"/>
  <c r="V67" i="88"/>
  <c r="W67" i="88"/>
  <c r="I9" i="88"/>
  <c r="G9" i="88"/>
  <c r="I8" i="88"/>
  <c r="I7" i="88"/>
  <c r="G8" i="88"/>
  <c r="G7" i="88"/>
  <c r="K11" i="92"/>
  <c r="F15" i="95" l="1"/>
  <c r="E15" i="95"/>
  <c r="E43" i="93"/>
  <c r="B5" i="69"/>
  <c r="P7" i="92"/>
  <c r="I36" i="93"/>
  <c r="J36" i="93" s="1"/>
  <c r="G36" i="93"/>
  <c r="E36" i="93"/>
  <c r="I43" i="93"/>
  <c r="V43" i="93" s="1"/>
  <c r="G43" i="93"/>
  <c r="B7" i="69"/>
  <c r="B6" i="69"/>
  <c r="I9" i="93"/>
  <c r="G9" i="93"/>
  <c r="E9" i="93"/>
  <c r="I8" i="93"/>
  <c r="I7" i="93"/>
  <c r="G8" i="93"/>
  <c r="G7" i="93"/>
  <c r="E8" i="93"/>
  <c r="E7" i="93"/>
  <c r="B121" i="93"/>
  <c r="B119" i="93"/>
  <c r="B117" i="93"/>
  <c r="E116" i="93"/>
  <c r="F116" i="93" s="1"/>
  <c r="G116" i="93" s="1"/>
  <c r="H116" i="93" s="1"/>
  <c r="I116" i="93" s="1"/>
  <c r="J116" i="93" s="1"/>
  <c r="K116" i="93" s="1"/>
  <c r="L116" i="93" s="1"/>
  <c r="M116" i="93" s="1"/>
  <c r="D116" i="93"/>
  <c r="E114" i="93"/>
  <c r="F114" i="93" s="1"/>
  <c r="G114" i="93" s="1"/>
  <c r="H114" i="93" s="1"/>
  <c r="I114" i="93" s="1"/>
  <c r="J114" i="93" s="1"/>
  <c r="K114" i="93" s="1"/>
  <c r="L114" i="93" s="1"/>
  <c r="M114" i="93" s="1"/>
  <c r="D114" i="93"/>
  <c r="E112" i="93"/>
  <c r="F112" i="93" s="1"/>
  <c r="G112" i="93" s="1"/>
  <c r="H112" i="93" s="1"/>
  <c r="I112" i="93" s="1"/>
  <c r="J112" i="93" s="1"/>
  <c r="K112" i="93" s="1"/>
  <c r="L112" i="93" s="1"/>
  <c r="M112" i="93" s="1"/>
  <c r="D112" i="93"/>
  <c r="M108" i="93"/>
  <c r="L108" i="93"/>
  <c r="K108" i="93"/>
  <c r="J108" i="93"/>
  <c r="I108" i="93"/>
  <c r="H108" i="93"/>
  <c r="G108" i="93"/>
  <c r="F108" i="93"/>
  <c r="E108" i="93"/>
  <c r="D108" i="93"/>
  <c r="C108" i="93"/>
  <c r="B106" i="93"/>
  <c r="B104" i="93"/>
  <c r="B102" i="93"/>
  <c r="D101" i="93"/>
  <c r="E101" i="93" s="1"/>
  <c r="F101" i="93" s="1"/>
  <c r="G101" i="93" s="1"/>
  <c r="H101" i="93" s="1"/>
  <c r="I101" i="93" s="1"/>
  <c r="J101" i="93" s="1"/>
  <c r="K101" i="93" s="1"/>
  <c r="L101" i="93" s="1"/>
  <c r="M101" i="93" s="1"/>
  <c r="D99" i="93"/>
  <c r="E99" i="93" s="1"/>
  <c r="F99" i="93" s="1"/>
  <c r="G99" i="93" s="1"/>
  <c r="H99" i="93" s="1"/>
  <c r="I99" i="93" s="1"/>
  <c r="J99" i="93" s="1"/>
  <c r="K99" i="93" s="1"/>
  <c r="L99" i="93" s="1"/>
  <c r="M99" i="93" s="1"/>
  <c r="D97" i="93"/>
  <c r="E97" i="93" s="1"/>
  <c r="F97" i="93" s="1"/>
  <c r="G97" i="93" s="1"/>
  <c r="H97" i="93" s="1"/>
  <c r="I97" i="93" s="1"/>
  <c r="J97" i="93" s="1"/>
  <c r="K97" i="93" s="1"/>
  <c r="L97" i="93" s="1"/>
  <c r="M97" i="93" s="1"/>
  <c r="B96" i="93"/>
  <c r="D95" i="93"/>
  <c r="E95" i="93" s="1"/>
  <c r="E93" i="93"/>
  <c r="F93" i="93" s="1"/>
  <c r="G93" i="93" s="1"/>
  <c r="D93" i="93"/>
  <c r="E91" i="93"/>
  <c r="F91" i="93" s="1"/>
  <c r="G91" i="93" s="1"/>
  <c r="D91" i="93"/>
  <c r="E89" i="93"/>
  <c r="F89" i="93" s="1"/>
  <c r="G89" i="93" s="1"/>
  <c r="D89" i="93"/>
  <c r="E87" i="93"/>
  <c r="F87" i="93" s="1"/>
  <c r="G87" i="93" s="1"/>
  <c r="D87" i="93"/>
  <c r="E85" i="93"/>
  <c r="F85" i="93" s="1"/>
  <c r="G85" i="93" s="1"/>
  <c r="D85" i="93"/>
  <c r="B82" i="93"/>
  <c r="B80" i="93"/>
  <c r="B78" i="93"/>
  <c r="D77" i="93"/>
  <c r="E77" i="93" s="1"/>
  <c r="F77" i="93" s="1"/>
  <c r="G77" i="93" s="1"/>
  <c r="H77" i="93" s="1"/>
  <c r="I77" i="93" s="1"/>
  <c r="J77" i="93" s="1"/>
  <c r="K77" i="93" s="1"/>
  <c r="L77" i="93" s="1"/>
  <c r="M77" i="93" s="1"/>
  <c r="M75" i="93"/>
  <c r="L75" i="93"/>
  <c r="K75" i="93"/>
  <c r="J75" i="93"/>
  <c r="I75" i="93"/>
  <c r="H75" i="93"/>
  <c r="G75" i="93"/>
  <c r="F75" i="93"/>
  <c r="E75" i="93"/>
  <c r="D75" i="93"/>
  <c r="C75" i="93"/>
  <c r="M68" i="93"/>
  <c r="L68" i="93"/>
  <c r="K68" i="93"/>
  <c r="J68" i="93"/>
  <c r="I68" i="93"/>
  <c r="H68" i="93"/>
  <c r="G68" i="93"/>
  <c r="F68" i="93"/>
  <c r="E68" i="93"/>
  <c r="D68" i="93"/>
  <c r="E67" i="93"/>
  <c r="F67" i="93" s="1"/>
  <c r="G67" i="93" s="1"/>
  <c r="H67" i="93" s="1"/>
  <c r="I67" i="93" s="1"/>
  <c r="J67" i="93" s="1"/>
  <c r="K67" i="93" s="1"/>
  <c r="L67" i="93" s="1"/>
  <c r="M67" i="93" s="1"/>
  <c r="N67" i="93" s="1"/>
  <c r="O67" i="93" s="1"/>
  <c r="P67" i="93" s="1"/>
  <c r="Q67" i="93" s="1"/>
  <c r="R67" i="93" s="1"/>
  <c r="S67" i="93" s="1"/>
  <c r="T67" i="93" s="1"/>
  <c r="U67" i="93" s="1"/>
  <c r="D67" i="93"/>
  <c r="E62" i="93"/>
  <c r="H61" i="93"/>
  <c r="I61" i="93" s="1"/>
  <c r="C61" i="93" s="1"/>
  <c r="E61" i="93"/>
  <c r="H60" i="93"/>
  <c r="I60" i="93" s="1"/>
  <c r="C60" i="93" s="1"/>
  <c r="E60" i="93"/>
  <c r="H59" i="93"/>
  <c r="I59" i="93" s="1"/>
  <c r="C59" i="93" s="1"/>
  <c r="E59" i="93"/>
  <c r="H58" i="93"/>
  <c r="I58" i="93" s="1"/>
  <c r="C58" i="93" s="1"/>
  <c r="E58" i="93"/>
  <c r="H57" i="93"/>
  <c r="I57" i="93" s="1"/>
  <c r="C57" i="93" s="1"/>
  <c r="E57" i="93"/>
  <c r="H56" i="93"/>
  <c r="I56" i="93" s="1"/>
  <c r="C56" i="93"/>
  <c r="I55" i="93"/>
  <c r="C55" i="93" s="1"/>
  <c r="H55" i="93"/>
  <c r="H54" i="93"/>
  <c r="I54" i="93" s="1"/>
  <c r="C54" i="93" s="1"/>
  <c r="E53" i="93"/>
  <c r="J52" i="93"/>
  <c r="P45" i="93"/>
  <c r="P44" i="93"/>
  <c r="K44" i="93"/>
  <c r="P43" i="93"/>
  <c r="Q42" i="93"/>
  <c r="Z42" i="93" s="1"/>
  <c r="J42" i="93"/>
  <c r="AC42" i="93" s="1"/>
  <c r="H42" i="93"/>
  <c r="AB42" i="93" s="1"/>
  <c r="F42" i="93"/>
  <c r="AA42" i="93" s="1"/>
  <c r="AC41" i="93"/>
  <c r="W41" i="93"/>
  <c r="Q41" i="93"/>
  <c r="Z41" i="93" s="1"/>
  <c r="J41" i="93"/>
  <c r="H41" i="93"/>
  <c r="AB41" i="93" s="1"/>
  <c r="F41" i="93"/>
  <c r="AA41" i="93" s="1"/>
  <c r="AB40" i="93"/>
  <c r="U40" i="93"/>
  <c r="Q40" i="93"/>
  <c r="Z40" i="93" s="1"/>
  <c r="J40" i="93"/>
  <c r="AC40" i="93" s="1"/>
  <c r="H40" i="93"/>
  <c r="F40" i="93"/>
  <c r="AA40" i="93" s="1"/>
  <c r="Q39" i="93"/>
  <c r="Z39" i="93" s="1"/>
  <c r="J39" i="93"/>
  <c r="AC39" i="93" s="1"/>
  <c r="H39" i="93"/>
  <c r="AB39" i="93" s="1"/>
  <c r="F39" i="93"/>
  <c r="AA39" i="93" s="1"/>
  <c r="Q38" i="93"/>
  <c r="Z38" i="93" s="1"/>
  <c r="J38" i="93"/>
  <c r="AC38" i="93" s="1"/>
  <c r="H38" i="93"/>
  <c r="AB38" i="93" s="1"/>
  <c r="F38" i="93"/>
  <c r="AA38" i="93" s="1"/>
  <c r="AC37" i="93"/>
  <c r="W37" i="93"/>
  <c r="Q37" i="93"/>
  <c r="Z37" i="93" s="1"/>
  <c r="J37" i="93"/>
  <c r="H37" i="93"/>
  <c r="AB37" i="93" s="1"/>
  <c r="F37" i="93"/>
  <c r="AA37" i="93" s="1"/>
  <c r="Q36" i="93"/>
  <c r="Z36" i="93" s="1"/>
  <c r="H36" i="93"/>
  <c r="AB36" i="93" s="1"/>
  <c r="F36" i="93"/>
  <c r="C36" i="93"/>
  <c r="AC35" i="93"/>
  <c r="W35" i="93"/>
  <c r="Q35" i="93"/>
  <c r="Z35" i="93" s="1"/>
  <c r="J35" i="93"/>
  <c r="H35" i="93"/>
  <c r="AB35" i="93" s="1"/>
  <c r="F35" i="93"/>
  <c r="AA35" i="93" s="1"/>
  <c r="AB34" i="93"/>
  <c r="U34" i="93"/>
  <c r="Q34" i="93"/>
  <c r="Z34" i="93" s="1"/>
  <c r="J34" i="93"/>
  <c r="AC34" i="93" s="1"/>
  <c r="H34" i="93"/>
  <c r="F34" i="93"/>
  <c r="AA34" i="93" s="1"/>
  <c r="Q33" i="93"/>
  <c r="Z33" i="93" s="1"/>
  <c r="J33" i="93"/>
  <c r="AC33" i="93" s="1"/>
  <c r="H33" i="93"/>
  <c r="AB33" i="93" s="1"/>
  <c r="F33" i="93"/>
  <c r="S33" i="93" s="1"/>
  <c r="Q32" i="93"/>
  <c r="Z32" i="93" s="1"/>
  <c r="C32" i="93"/>
  <c r="H32" i="93" s="1"/>
  <c r="Q30" i="93"/>
  <c r="Z30" i="93" s="1"/>
  <c r="J30" i="93"/>
  <c r="AC30" i="93" s="1"/>
  <c r="H30" i="93"/>
  <c r="AB30" i="93" s="1"/>
  <c r="F30" i="93"/>
  <c r="AA30" i="93" s="1"/>
  <c r="C30" i="93"/>
  <c r="Q29" i="93"/>
  <c r="Z29" i="93" s="1"/>
  <c r="J29" i="93"/>
  <c r="AC29" i="93" s="1"/>
  <c r="H29" i="93"/>
  <c r="AB29" i="93" s="1"/>
  <c r="F29" i="93"/>
  <c r="AA29" i="93" s="1"/>
  <c r="Q27" i="93"/>
  <c r="Z27" i="93" s="1"/>
  <c r="C27" i="93"/>
  <c r="Q25" i="93"/>
  <c r="Z25" i="93" s="1"/>
  <c r="J25" i="93"/>
  <c r="AC25" i="93" s="1"/>
  <c r="H25" i="93"/>
  <c r="AB25" i="93" s="1"/>
  <c r="F25" i="93"/>
  <c r="AA25" i="93" s="1"/>
  <c r="C25" i="93"/>
  <c r="AC23" i="93"/>
  <c r="W23" i="93"/>
  <c r="Q23" i="93"/>
  <c r="Z23" i="93" s="1"/>
  <c r="J23" i="93"/>
  <c r="H23" i="93"/>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6" i="93"/>
  <c r="Z16" i="93" s="1"/>
  <c r="J16" i="93"/>
  <c r="AC16" i="93" s="1"/>
  <c r="H16" i="93"/>
  <c r="AB16" i="93" s="1"/>
  <c r="F16" i="93"/>
  <c r="AA16" i="93" s="1"/>
  <c r="Q15" i="93"/>
  <c r="Z15" i="93" s="1"/>
  <c r="J15" i="93"/>
  <c r="AC15" i="93" s="1"/>
  <c r="H15" i="93"/>
  <c r="AB15" i="93" s="1"/>
  <c r="F15" i="93"/>
  <c r="AA15" i="93" s="1"/>
  <c r="Q14" i="93"/>
  <c r="Z14" i="93" s="1"/>
  <c r="I14" i="93"/>
  <c r="J14" i="93" s="1"/>
  <c r="G14" i="93"/>
  <c r="H14" i="93" s="1"/>
  <c r="F14" i="93"/>
  <c r="AA14" i="93" s="1"/>
  <c r="Q13" i="93"/>
  <c r="Z13" i="93" s="1"/>
  <c r="J13" i="93"/>
  <c r="AC13" i="93" s="1"/>
  <c r="H13" i="93"/>
  <c r="AB13" i="93" s="1"/>
  <c r="F13" i="93"/>
  <c r="AA13" i="93" s="1"/>
  <c r="Q12" i="93"/>
  <c r="Z12" i="93" s="1"/>
  <c r="I12" i="93"/>
  <c r="G12" i="93"/>
  <c r="Q11" i="93"/>
  <c r="Z11" i="93" s="1"/>
  <c r="J11" i="93"/>
  <c r="AC11" i="93" s="1"/>
  <c r="H11" i="93"/>
  <c r="AB11" i="93" s="1"/>
  <c r="F11" i="93"/>
  <c r="AA11" i="93" s="1"/>
  <c r="J10" i="93"/>
  <c r="AC10" i="93" s="1"/>
  <c r="H10" i="93"/>
  <c r="U10" i="93" s="1"/>
  <c r="F10" i="93"/>
  <c r="AA10" i="93" s="1"/>
  <c r="D67" i="91"/>
  <c r="K6" i="92"/>
  <c r="K5" i="92"/>
  <c r="F95" i="93" l="1"/>
  <c r="G95" i="93" s="1"/>
  <c r="H27" i="93"/>
  <c r="AB27" i="93" s="1"/>
  <c r="J27" i="93"/>
  <c r="F27" i="93"/>
  <c r="AA27" i="93" s="1"/>
  <c r="F16" i="95"/>
  <c r="E16" i="95"/>
  <c r="U36" i="93"/>
  <c r="S10" i="93"/>
  <c r="W10" i="93"/>
  <c r="AB14" i="93"/>
  <c r="U14" i="93"/>
  <c r="AB32" i="93"/>
  <c r="U32" i="93"/>
  <c r="AC14" i="93"/>
  <c r="W14" i="93"/>
  <c r="AB10" i="93"/>
  <c r="S11" i="93"/>
  <c r="W11" i="93"/>
  <c r="U17" i="93"/>
  <c r="U19" i="93"/>
  <c r="U21" i="93"/>
  <c r="AB23" i="93"/>
  <c r="U23" i="93"/>
  <c r="S25" i="93"/>
  <c r="AA33" i="93"/>
  <c r="AC36" i="93"/>
  <c r="W36" i="93"/>
  <c r="U11" i="93"/>
  <c r="U13" i="93"/>
  <c r="S14" i="93"/>
  <c r="U15" i="93"/>
  <c r="S16" i="93"/>
  <c r="W16" i="93"/>
  <c r="S17" i="93"/>
  <c r="W17" i="93"/>
  <c r="S19" i="93"/>
  <c r="W19" i="93"/>
  <c r="S21" i="93"/>
  <c r="W21" i="93"/>
  <c r="S23" i="93"/>
  <c r="W25" i="93"/>
  <c r="U29" i="93"/>
  <c r="U30" i="93"/>
  <c r="W33" i="93"/>
  <c r="S35" i="93"/>
  <c r="S37" i="93"/>
  <c r="U38" i="93"/>
  <c r="W39" i="93"/>
  <c r="S41" i="93"/>
  <c r="U42" i="93"/>
  <c r="G50" i="93"/>
  <c r="H50" i="93" s="1"/>
  <c r="S13" i="93"/>
  <c r="W13" i="93"/>
  <c r="S15" i="93"/>
  <c r="W15" i="93"/>
  <c r="U16" i="93"/>
  <c r="J32" i="93"/>
  <c r="F32" i="93"/>
  <c r="AA36" i="93"/>
  <c r="S36" i="93"/>
  <c r="S39" i="93"/>
  <c r="U25" i="93"/>
  <c r="U27" i="93"/>
  <c r="S29" i="93"/>
  <c r="W29" i="93"/>
  <c r="S30" i="93"/>
  <c r="W30" i="93"/>
  <c r="U33" i="93"/>
  <c r="S34" i="93"/>
  <c r="W34" i="93"/>
  <c r="U35" i="93"/>
  <c r="U37" i="93"/>
  <c r="S38" i="93"/>
  <c r="W38" i="93"/>
  <c r="U39" i="93"/>
  <c r="S40" i="93"/>
  <c r="W40" i="93"/>
  <c r="U41" i="93"/>
  <c r="S42" i="93"/>
  <c r="W42" i="93"/>
  <c r="T43" i="93"/>
  <c r="I36" i="91"/>
  <c r="I9" i="91"/>
  <c r="I7" i="91"/>
  <c r="B121" i="91"/>
  <c r="B119" i="91"/>
  <c r="B117" i="91"/>
  <c r="G116" i="91"/>
  <c r="H116" i="91" s="1"/>
  <c r="I116" i="91" s="1"/>
  <c r="J116" i="91" s="1"/>
  <c r="K116" i="91" s="1"/>
  <c r="L116" i="91" s="1"/>
  <c r="M116" i="91" s="1"/>
  <c r="E116" i="91"/>
  <c r="F116" i="91" s="1"/>
  <c r="D116" i="91"/>
  <c r="G114" i="91"/>
  <c r="H114" i="91" s="1"/>
  <c r="I114" i="91" s="1"/>
  <c r="J114" i="91" s="1"/>
  <c r="K114" i="91" s="1"/>
  <c r="L114" i="91" s="1"/>
  <c r="M114" i="91" s="1"/>
  <c r="E114" i="91"/>
  <c r="F114" i="91" s="1"/>
  <c r="D114" i="91"/>
  <c r="G112" i="91"/>
  <c r="H112" i="91" s="1"/>
  <c r="I112" i="91" s="1"/>
  <c r="J112" i="91" s="1"/>
  <c r="K112" i="91" s="1"/>
  <c r="L112" i="91" s="1"/>
  <c r="M112" i="91" s="1"/>
  <c r="E112" i="91"/>
  <c r="F112" i="91" s="1"/>
  <c r="D112" i="91"/>
  <c r="M108" i="91"/>
  <c r="L108" i="91"/>
  <c r="K108" i="91"/>
  <c r="J108" i="91"/>
  <c r="I108" i="91"/>
  <c r="H108" i="91"/>
  <c r="G108" i="91"/>
  <c r="F108" i="91"/>
  <c r="E108" i="91"/>
  <c r="D108" i="91"/>
  <c r="C108" i="91"/>
  <c r="B106" i="91"/>
  <c r="B104" i="91"/>
  <c r="D103" i="91"/>
  <c r="B102" i="91"/>
  <c r="D101" i="91"/>
  <c r="E101" i="91" s="1"/>
  <c r="F101" i="91" s="1"/>
  <c r="G101" i="91" s="1"/>
  <c r="H101" i="91" s="1"/>
  <c r="I101" i="91" s="1"/>
  <c r="J101" i="91" s="1"/>
  <c r="K101" i="91" s="1"/>
  <c r="L101" i="91" s="1"/>
  <c r="M101" i="91" s="1"/>
  <c r="F99" i="91"/>
  <c r="G99" i="91" s="1"/>
  <c r="H99" i="91" s="1"/>
  <c r="I99" i="91" s="1"/>
  <c r="J99" i="91" s="1"/>
  <c r="K99" i="91" s="1"/>
  <c r="L99" i="91" s="1"/>
  <c r="M99" i="91" s="1"/>
  <c r="D99" i="91"/>
  <c r="E99" i="91" s="1"/>
  <c r="D97" i="91"/>
  <c r="E97" i="91" s="1"/>
  <c r="F97" i="91" s="1"/>
  <c r="G97" i="91" s="1"/>
  <c r="H97" i="91" s="1"/>
  <c r="I97" i="91" s="1"/>
  <c r="J97" i="91" s="1"/>
  <c r="K97" i="91" s="1"/>
  <c r="L97" i="91" s="1"/>
  <c r="M97" i="91" s="1"/>
  <c r="B96" i="91"/>
  <c r="G95" i="91"/>
  <c r="E95" i="91"/>
  <c r="F95" i="91" s="1"/>
  <c r="D95" i="91"/>
  <c r="E93" i="91"/>
  <c r="F93" i="91" s="1"/>
  <c r="G93" i="91" s="1"/>
  <c r="D93" i="91"/>
  <c r="G91" i="91"/>
  <c r="E91" i="91"/>
  <c r="F91" i="91" s="1"/>
  <c r="D91" i="91"/>
  <c r="E89" i="91"/>
  <c r="F89" i="91" s="1"/>
  <c r="G89" i="91" s="1"/>
  <c r="D89" i="91"/>
  <c r="D87" i="91"/>
  <c r="E87" i="91" s="1"/>
  <c r="E85" i="91"/>
  <c r="F85" i="91" s="1"/>
  <c r="G85" i="91" s="1"/>
  <c r="D85" i="91"/>
  <c r="B82" i="91"/>
  <c r="B80" i="91"/>
  <c r="B78" i="91"/>
  <c r="J77" i="91"/>
  <c r="K77" i="91" s="1"/>
  <c r="L77" i="91" s="1"/>
  <c r="M77" i="91" s="1"/>
  <c r="F77" i="91"/>
  <c r="G77" i="91" s="1"/>
  <c r="H77" i="91" s="1"/>
  <c r="I77" i="91" s="1"/>
  <c r="D77" i="91"/>
  <c r="E77" i="91" s="1"/>
  <c r="M75" i="91"/>
  <c r="L75" i="91"/>
  <c r="K75" i="91"/>
  <c r="J75" i="91"/>
  <c r="I75" i="91"/>
  <c r="H75" i="91"/>
  <c r="G75" i="91"/>
  <c r="F75" i="91"/>
  <c r="E75" i="91"/>
  <c r="D75" i="91"/>
  <c r="C75" i="91"/>
  <c r="M68" i="91"/>
  <c r="L68" i="91"/>
  <c r="K68" i="91"/>
  <c r="J68" i="91"/>
  <c r="I68" i="91"/>
  <c r="H68" i="91"/>
  <c r="G68" i="91"/>
  <c r="F68" i="91"/>
  <c r="E68" i="91"/>
  <c r="D68" i="91"/>
  <c r="E67" i="91"/>
  <c r="F67" i="91" s="1"/>
  <c r="G67" i="91" s="1"/>
  <c r="H67" i="91" s="1"/>
  <c r="I67" i="91" s="1"/>
  <c r="J67" i="91" s="1"/>
  <c r="K67" i="91" s="1"/>
  <c r="L67" i="91" s="1"/>
  <c r="M67" i="91" s="1"/>
  <c r="N67" i="91" s="1"/>
  <c r="E62" i="91"/>
  <c r="I61" i="91"/>
  <c r="H61" i="91"/>
  <c r="E61" i="91"/>
  <c r="C61" i="91"/>
  <c r="I60" i="91"/>
  <c r="H60" i="91"/>
  <c r="E60" i="91"/>
  <c r="C60" i="91"/>
  <c r="I59" i="91"/>
  <c r="H59" i="91"/>
  <c r="E59" i="91"/>
  <c r="C59" i="91"/>
  <c r="I58" i="91"/>
  <c r="H58" i="91"/>
  <c r="E58" i="91"/>
  <c r="C58" i="91"/>
  <c r="I57" i="91"/>
  <c r="H57" i="91"/>
  <c r="E57" i="91"/>
  <c r="C57" i="91"/>
  <c r="I56" i="91"/>
  <c r="C56" i="91" s="1"/>
  <c r="H56" i="91"/>
  <c r="H55" i="91"/>
  <c r="I55" i="91" s="1"/>
  <c r="C55" i="91"/>
  <c r="I54" i="91"/>
  <c r="C54" i="91" s="1"/>
  <c r="H54" i="91"/>
  <c r="E53" i="91"/>
  <c r="J52" i="91"/>
  <c r="I50" i="91"/>
  <c r="J50" i="91" s="1"/>
  <c r="G50" i="91"/>
  <c r="H50" i="91" s="1"/>
  <c r="P45" i="91"/>
  <c r="P44" i="91"/>
  <c r="K44" i="91"/>
  <c r="P43" i="91"/>
  <c r="V43" i="91"/>
  <c r="G43" i="91"/>
  <c r="E43" i="91"/>
  <c r="R43" i="91" s="1"/>
  <c r="W42" i="91"/>
  <c r="Q42" i="91"/>
  <c r="Z42" i="91" s="1"/>
  <c r="J42" i="91"/>
  <c r="AC42" i="91" s="1"/>
  <c r="H42" i="91"/>
  <c r="AB42" i="91" s="1"/>
  <c r="F42" i="91"/>
  <c r="AA42" i="91" s="1"/>
  <c r="AB41" i="91"/>
  <c r="U41" i="91"/>
  <c r="Q41" i="91"/>
  <c r="Z41" i="91" s="1"/>
  <c r="J41" i="91"/>
  <c r="AC41" i="91" s="1"/>
  <c r="H41" i="91"/>
  <c r="F41" i="91"/>
  <c r="AA41" i="91" s="1"/>
  <c r="Q40" i="91"/>
  <c r="Z40" i="91" s="1"/>
  <c r="J40" i="91"/>
  <c r="AC40" i="91" s="1"/>
  <c r="I40" i="91"/>
  <c r="H40" i="91"/>
  <c r="G40" i="91"/>
  <c r="F40" i="91"/>
  <c r="AA40" i="91" s="1"/>
  <c r="Q39" i="91"/>
  <c r="Z39" i="91" s="1"/>
  <c r="J39" i="91"/>
  <c r="AC39" i="91" s="1"/>
  <c r="H39" i="91"/>
  <c r="AB39" i="91" s="1"/>
  <c r="F39" i="91"/>
  <c r="AA39" i="91" s="1"/>
  <c r="AC38" i="91"/>
  <c r="W38" i="91"/>
  <c r="Q38" i="91"/>
  <c r="Z38" i="91" s="1"/>
  <c r="J38" i="91"/>
  <c r="H38" i="91"/>
  <c r="AB38" i="91" s="1"/>
  <c r="F38" i="91"/>
  <c r="AA38" i="91" s="1"/>
  <c r="AB37" i="91"/>
  <c r="U37" i="91"/>
  <c r="Q37" i="91"/>
  <c r="Z37" i="91" s="1"/>
  <c r="J37" i="91"/>
  <c r="AC37" i="91" s="1"/>
  <c r="H37" i="91"/>
  <c r="F37" i="91"/>
  <c r="AA37" i="91" s="1"/>
  <c r="Q36" i="91"/>
  <c r="Z36" i="91" s="1"/>
  <c r="G36" i="91"/>
  <c r="E36" i="91"/>
  <c r="C36" i="91"/>
  <c r="Q35" i="91"/>
  <c r="Z35" i="91" s="1"/>
  <c r="J35" i="91"/>
  <c r="AC35" i="91" s="1"/>
  <c r="H35" i="91"/>
  <c r="AB35" i="91" s="1"/>
  <c r="F35" i="91"/>
  <c r="AA35" i="91" s="1"/>
  <c r="AC34" i="91"/>
  <c r="W34" i="91"/>
  <c r="Q34" i="91"/>
  <c r="Z34" i="91" s="1"/>
  <c r="J34" i="91"/>
  <c r="H34" i="91"/>
  <c r="AB34" i="91" s="1"/>
  <c r="F34" i="91"/>
  <c r="AA34" i="91" s="1"/>
  <c r="AB33" i="91"/>
  <c r="U33" i="91"/>
  <c r="Q33" i="91"/>
  <c r="Z33" i="91" s="1"/>
  <c r="J33" i="91"/>
  <c r="AC33" i="91" s="1"/>
  <c r="H33" i="91"/>
  <c r="F33" i="91"/>
  <c r="AA33" i="91" s="1"/>
  <c r="Q32" i="91"/>
  <c r="Z32" i="91" s="1"/>
  <c r="J32" i="91"/>
  <c r="AC32" i="91" s="1"/>
  <c r="C32" i="91"/>
  <c r="Q30" i="91"/>
  <c r="Z30" i="91" s="1"/>
  <c r="J30" i="91"/>
  <c r="AC30" i="91" s="1"/>
  <c r="H30" i="91"/>
  <c r="AB30" i="91" s="1"/>
  <c r="F30" i="91"/>
  <c r="AA30" i="91" s="1"/>
  <c r="C30" i="91"/>
  <c r="AC29" i="91"/>
  <c r="W29" i="91"/>
  <c r="Q29" i="91"/>
  <c r="Z29" i="91" s="1"/>
  <c r="J29" i="91"/>
  <c r="H29" i="91"/>
  <c r="AB29" i="91" s="1"/>
  <c r="F29" i="91"/>
  <c r="AA29" i="91" s="1"/>
  <c r="AB27" i="91"/>
  <c r="U27" i="91"/>
  <c r="Q27" i="91"/>
  <c r="Z27" i="91" s="1"/>
  <c r="J27" i="91"/>
  <c r="H27" i="91"/>
  <c r="F27" i="91"/>
  <c r="C27" i="91"/>
  <c r="Q25" i="91"/>
  <c r="Z25" i="91" s="1"/>
  <c r="J25" i="91"/>
  <c r="AC25" i="91" s="1"/>
  <c r="H25" i="91"/>
  <c r="AB25" i="91" s="1"/>
  <c r="F25" i="91"/>
  <c r="AA25" i="91" s="1"/>
  <c r="C25" i="91"/>
  <c r="Q23" i="91"/>
  <c r="Z23" i="91" s="1"/>
  <c r="J23" i="91"/>
  <c r="AC23" i="91" s="1"/>
  <c r="H23" i="91"/>
  <c r="AB23" i="91" s="1"/>
  <c r="F23" i="91"/>
  <c r="AA23" i="91" s="1"/>
  <c r="C23" i="91"/>
  <c r="Q21" i="91"/>
  <c r="Z21" i="91" s="1"/>
  <c r="J21" i="91"/>
  <c r="AC21" i="91" s="1"/>
  <c r="H21" i="91"/>
  <c r="AB21" i="91" s="1"/>
  <c r="F21" i="91"/>
  <c r="AA21" i="91" s="1"/>
  <c r="C21" i="91"/>
  <c r="Q19" i="91"/>
  <c r="Z19" i="91" s="1"/>
  <c r="C19" i="91"/>
  <c r="Q17" i="91"/>
  <c r="Z17" i="91" s="1"/>
  <c r="J17" i="91"/>
  <c r="AC17" i="91" s="1"/>
  <c r="H17" i="91"/>
  <c r="AB17" i="91" s="1"/>
  <c r="F17" i="91"/>
  <c r="AA17" i="91" s="1"/>
  <c r="C17" i="91"/>
  <c r="Q16" i="91"/>
  <c r="Z16" i="91" s="1"/>
  <c r="J16" i="91"/>
  <c r="AC16" i="91" s="1"/>
  <c r="H16" i="91"/>
  <c r="AB16" i="91" s="1"/>
  <c r="F16" i="91"/>
  <c r="AA16" i="91" s="1"/>
  <c r="Q15" i="91"/>
  <c r="Z15" i="91" s="1"/>
  <c r="J15" i="91"/>
  <c r="AC15" i="91" s="1"/>
  <c r="H15" i="91"/>
  <c r="AB15" i="91" s="1"/>
  <c r="F15" i="91"/>
  <c r="AA15" i="91" s="1"/>
  <c r="Q14" i="91"/>
  <c r="Z14" i="91" s="1"/>
  <c r="J14" i="91"/>
  <c r="AC14" i="91" s="1"/>
  <c r="H14" i="91"/>
  <c r="AB14" i="91" s="1"/>
  <c r="F14" i="91"/>
  <c r="AA14" i="91" s="1"/>
  <c r="Q13" i="91"/>
  <c r="Z13" i="91" s="1"/>
  <c r="J13" i="91"/>
  <c r="AC13" i="91" s="1"/>
  <c r="H13" i="91"/>
  <c r="AB13" i="91" s="1"/>
  <c r="F13" i="91"/>
  <c r="AA13" i="91" s="1"/>
  <c r="Q12" i="91"/>
  <c r="Z12" i="91" s="1"/>
  <c r="I12" i="91"/>
  <c r="G12" i="91"/>
  <c r="E12" i="91"/>
  <c r="Q11" i="91"/>
  <c r="Z11" i="91" s="1"/>
  <c r="J11" i="91"/>
  <c r="AC11" i="91" s="1"/>
  <c r="H11" i="91"/>
  <c r="AB11" i="91" s="1"/>
  <c r="F11" i="91"/>
  <c r="AA11" i="91" s="1"/>
  <c r="W10" i="91"/>
  <c r="S10" i="91"/>
  <c r="J10" i="91"/>
  <c r="AC10" i="91" s="1"/>
  <c r="H10" i="91"/>
  <c r="U10" i="91" s="1"/>
  <c r="F10" i="91"/>
  <c r="AA10" i="91" s="1"/>
  <c r="G9" i="91"/>
  <c r="E9" i="91"/>
  <c r="G7" i="91"/>
  <c r="E7" i="91"/>
  <c r="G17" i="90"/>
  <c r="C16" i="90"/>
  <c r="C15" i="90"/>
  <c r="C14" i="90"/>
  <c r="E13" i="90"/>
  <c r="D13" i="90"/>
  <c r="C13" i="90" s="1"/>
  <c r="E12" i="90"/>
  <c r="D12" i="90"/>
  <c r="C12" i="90"/>
  <c r="C11" i="90"/>
  <c r="C10" i="90"/>
  <c r="C9" i="90"/>
  <c r="D8" i="90"/>
  <c r="D51" i="72"/>
  <c r="E50" i="88"/>
  <c r="F50" i="88" s="1"/>
  <c r="E43" i="88"/>
  <c r="H36" i="88"/>
  <c r="E36" i="88"/>
  <c r="F36" i="88" s="1"/>
  <c r="E9" i="88"/>
  <c r="E8" i="88"/>
  <c r="E7" i="88"/>
  <c r="B121" i="88"/>
  <c r="B119" i="88"/>
  <c r="B117" i="88"/>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M108" i="88"/>
  <c r="L108" i="88"/>
  <c r="K108" i="88"/>
  <c r="J108" i="88"/>
  <c r="I108" i="88"/>
  <c r="H108" i="88"/>
  <c r="G108" i="88"/>
  <c r="F108" i="88"/>
  <c r="E108" i="88"/>
  <c r="D108" i="88"/>
  <c r="C108" i="88"/>
  <c r="B106" i="88"/>
  <c r="B104" i="88"/>
  <c r="D103" i="88"/>
  <c r="B102" i="88"/>
  <c r="D101" i="88"/>
  <c r="E101" i="88" s="1"/>
  <c r="F101" i="88" s="1"/>
  <c r="G101" i="88" s="1"/>
  <c r="H101" i="88" s="1"/>
  <c r="I101" i="88" s="1"/>
  <c r="J101" i="88" s="1"/>
  <c r="K101" i="88" s="1"/>
  <c r="L101" i="88" s="1"/>
  <c r="M101" i="88" s="1"/>
  <c r="E99" i="88"/>
  <c r="F99" i="88" s="1"/>
  <c r="G99" i="88" s="1"/>
  <c r="H99" i="88" s="1"/>
  <c r="I99" i="88" s="1"/>
  <c r="J99" i="88" s="1"/>
  <c r="K99" i="88" s="1"/>
  <c r="L99" i="88" s="1"/>
  <c r="M99" i="88" s="1"/>
  <c r="D99" i="88"/>
  <c r="E97" i="88"/>
  <c r="F97" i="88" s="1"/>
  <c r="G97" i="88" s="1"/>
  <c r="H97" i="88" s="1"/>
  <c r="I97" i="88" s="1"/>
  <c r="J97" i="88" s="1"/>
  <c r="K97" i="88" s="1"/>
  <c r="L97" i="88" s="1"/>
  <c r="M97" i="88" s="1"/>
  <c r="D97" i="88"/>
  <c r="B96" i="88"/>
  <c r="D95" i="88"/>
  <c r="E95" i="88" s="1"/>
  <c r="F95" i="88" s="1"/>
  <c r="G95" i="88" s="1"/>
  <c r="D93" i="88"/>
  <c r="E93" i="88" s="1"/>
  <c r="F93" i="88" s="1"/>
  <c r="G93" i="88" s="1"/>
  <c r="D91" i="88"/>
  <c r="E91" i="88" s="1"/>
  <c r="F91" i="88" s="1"/>
  <c r="G91" i="88" s="1"/>
  <c r="D89" i="88"/>
  <c r="E89" i="88" s="1"/>
  <c r="F89" i="88" s="1"/>
  <c r="G89" i="88" s="1"/>
  <c r="D87" i="88"/>
  <c r="E87" i="88" s="1"/>
  <c r="F87" i="88" s="1"/>
  <c r="G87" i="88" s="1"/>
  <c r="D85" i="88"/>
  <c r="E85" i="88" s="1"/>
  <c r="F85" i="88" s="1"/>
  <c r="G85" i="88" s="1"/>
  <c r="B82" i="88"/>
  <c r="B80" i="88"/>
  <c r="B78" i="88"/>
  <c r="E77" i="88"/>
  <c r="F77" i="88" s="1"/>
  <c r="G77" i="88" s="1"/>
  <c r="H77" i="88" s="1"/>
  <c r="I77" i="88" s="1"/>
  <c r="J77" i="88" s="1"/>
  <c r="K77" i="88" s="1"/>
  <c r="L77" i="88" s="1"/>
  <c r="M77" i="88" s="1"/>
  <c r="D77" i="88"/>
  <c r="M75" i="88"/>
  <c r="L75" i="88"/>
  <c r="K75" i="88"/>
  <c r="J75" i="88"/>
  <c r="I75" i="88"/>
  <c r="H75" i="88"/>
  <c r="G75" i="88"/>
  <c r="F75" i="88"/>
  <c r="E75" i="88"/>
  <c r="D75" i="88"/>
  <c r="C75" i="88"/>
  <c r="M68" i="88"/>
  <c r="L68" i="88"/>
  <c r="K68" i="88"/>
  <c r="J68" i="88"/>
  <c r="I68" i="88"/>
  <c r="H68" i="88"/>
  <c r="G68" i="88"/>
  <c r="F68" i="88"/>
  <c r="E68" i="88"/>
  <c r="D68" i="88"/>
  <c r="D67" i="88"/>
  <c r="E67" i="88" s="1"/>
  <c r="F67" i="88" s="1"/>
  <c r="G67" i="88" s="1"/>
  <c r="H67" i="88" s="1"/>
  <c r="I67" i="88" s="1"/>
  <c r="J67" i="88" s="1"/>
  <c r="K67" i="88" s="1"/>
  <c r="L67" i="88" s="1"/>
  <c r="M67" i="88" s="1"/>
  <c r="N67" i="88" s="1"/>
  <c r="O67" i="88" s="1"/>
  <c r="P67" i="88" s="1"/>
  <c r="Q67" i="88" s="1"/>
  <c r="R67" i="88" s="1"/>
  <c r="S67" i="88" s="1"/>
  <c r="T67" i="88" s="1"/>
  <c r="U67" i="88" s="1"/>
  <c r="E62" i="88"/>
  <c r="H61" i="88"/>
  <c r="I61" i="88" s="1"/>
  <c r="C61" i="88" s="1"/>
  <c r="E61" i="88"/>
  <c r="H60" i="88"/>
  <c r="I60" i="88" s="1"/>
  <c r="C60" i="88" s="1"/>
  <c r="E60" i="88"/>
  <c r="H59" i="88"/>
  <c r="I59" i="88" s="1"/>
  <c r="C59" i="88" s="1"/>
  <c r="E59" i="88"/>
  <c r="H58" i="88"/>
  <c r="I58" i="88" s="1"/>
  <c r="C58" i="88" s="1"/>
  <c r="E58" i="88"/>
  <c r="H57" i="88"/>
  <c r="I57" i="88" s="1"/>
  <c r="C57" i="88" s="1"/>
  <c r="E57" i="88"/>
  <c r="H56" i="88"/>
  <c r="I56" i="88" s="1"/>
  <c r="C56" i="88" s="1"/>
  <c r="I55" i="88"/>
  <c r="C55" i="88" s="1"/>
  <c r="H55" i="88"/>
  <c r="H54" i="88"/>
  <c r="I54" i="88" s="1"/>
  <c r="C54" i="88"/>
  <c r="E53" i="88"/>
  <c r="J52" i="88"/>
  <c r="P45" i="88"/>
  <c r="P44" i="88"/>
  <c r="K44" i="88"/>
  <c r="P43" i="88"/>
  <c r="G50" i="88"/>
  <c r="H50"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C36" i="88"/>
  <c r="Q35" i="88"/>
  <c r="Z35" i="88" s="1"/>
  <c r="J35" i="88"/>
  <c r="AC35" i="88" s="1"/>
  <c r="H35" i="88"/>
  <c r="AB35" i="88" s="1"/>
  <c r="F35" i="88"/>
  <c r="AA35" i="88" s="1"/>
  <c r="Q34" i="88"/>
  <c r="Z34" i="88" s="1"/>
  <c r="J34" i="88"/>
  <c r="AC34" i="88" s="1"/>
  <c r="H34" i="88"/>
  <c r="AB34" i="88" s="1"/>
  <c r="F34" i="88"/>
  <c r="AA34" i="88" s="1"/>
  <c r="Q33" i="88"/>
  <c r="Z33" i="88" s="1"/>
  <c r="J33" i="88"/>
  <c r="AC33" i="88" s="1"/>
  <c r="H33" i="88"/>
  <c r="AB33" i="88" s="1"/>
  <c r="F33" i="88"/>
  <c r="AA33" i="88" s="1"/>
  <c r="Q32" i="88"/>
  <c r="Z32" i="88" s="1"/>
  <c r="C32" i="88"/>
  <c r="Q30" i="88"/>
  <c r="Z30" i="88" s="1"/>
  <c r="J30" i="88"/>
  <c r="AC30" i="88" s="1"/>
  <c r="H30" i="88"/>
  <c r="AB30" i="88" s="1"/>
  <c r="F30" i="88"/>
  <c r="AA30" i="88" s="1"/>
  <c r="C30" i="88"/>
  <c r="Q29" i="88"/>
  <c r="Z29" i="88" s="1"/>
  <c r="J29" i="88"/>
  <c r="AC29" i="88" s="1"/>
  <c r="H29" i="88"/>
  <c r="AB29" i="88" s="1"/>
  <c r="F29" i="88"/>
  <c r="AA29" i="88" s="1"/>
  <c r="Q27" i="88"/>
  <c r="Z27" i="88" s="1"/>
  <c r="J27" i="88"/>
  <c r="AC27" i="88" s="1"/>
  <c r="H27" i="88"/>
  <c r="AB27" i="88" s="1"/>
  <c r="F27" i="88"/>
  <c r="AA27" i="88" s="1"/>
  <c r="C27" i="88"/>
  <c r="Q25" i="88"/>
  <c r="Z25" i="88" s="1"/>
  <c r="J25" i="88"/>
  <c r="AC25" i="88" s="1"/>
  <c r="H25" i="88"/>
  <c r="AB25" i="88" s="1"/>
  <c r="F25" i="88"/>
  <c r="AA25" i="88" s="1"/>
  <c r="C25" i="88"/>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C17" i="88"/>
  <c r="AC16" i="88"/>
  <c r="W16" i="88"/>
  <c r="Q16" i="88"/>
  <c r="Z16" i="88" s="1"/>
  <c r="J16" i="88"/>
  <c r="H16" i="88"/>
  <c r="AB16" i="88" s="1"/>
  <c r="F16" i="88"/>
  <c r="AA16" i="88" s="1"/>
  <c r="AB15" i="88"/>
  <c r="U15" i="88"/>
  <c r="Q15" i="88"/>
  <c r="Z15" i="88" s="1"/>
  <c r="J15" i="88"/>
  <c r="AC15" i="88" s="1"/>
  <c r="H15" i="88"/>
  <c r="F15" i="88"/>
  <c r="AA15" i="88" s="1"/>
  <c r="Q14" i="88"/>
  <c r="Z14" i="88" s="1"/>
  <c r="J14" i="88"/>
  <c r="AC14" i="88" s="1"/>
  <c r="G14" i="88"/>
  <c r="H14" i="88" s="1"/>
  <c r="F14" i="88"/>
  <c r="AA14" i="88" s="1"/>
  <c r="Q13" i="88"/>
  <c r="Z13" i="88" s="1"/>
  <c r="J13" i="88"/>
  <c r="AC13" i="88" s="1"/>
  <c r="H13" i="88"/>
  <c r="AB13" i="88" s="1"/>
  <c r="F13" i="88"/>
  <c r="Q12" i="88"/>
  <c r="Z12" i="88" s="1"/>
  <c r="I12" i="88"/>
  <c r="G12" i="88"/>
  <c r="Q11" i="88"/>
  <c r="Z11" i="88" s="1"/>
  <c r="J11" i="88"/>
  <c r="AC11" i="88" s="1"/>
  <c r="H11" i="88"/>
  <c r="AB11" i="88" s="1"/>
  <c r="F11" i="88"/>
  <c r="AA11" i="88" s="1"/>
  <c r="U10" i="88"/>
  <c r="J10" i="88"/>
  <c r="AC10" i="88" s="1"/>
  <c r="H10" i="88"/>
  <c r="AB10" i="88" s="1"/>
  <c r="F10" i="88"/>
  <c r="AA10" i="88" s="1"/>
  <c r="H17" i="88" l="1"/>
  <c r="AB17" i="88" s="1"/>
  <c r="F17" i="88"/>
  <c r="AA17" i="88" s="1"/>
  <c r="J17" i="88"/>
  <c r="AC17" i="88" s="1"/>
  <c r="H32" i="91"/>
  <c r="F19" i="91"/>
  <c r="AA19" i="91" s="1"/>
  <c r="J19" i="91"/>
  <c r="AC19" i="91" s="1"/>
  <c r="S27" i="93"/>
  <c r="AC27" i="93"/>
  <c r="W27" i="93"/>
  <c r="AC32" i="93"/>
  <c r="W32" i="93"/>
  <c r="AA32" i="93"/>
  <c r="S32" i="93"/>
  <c r="J36" i="91"/>
  <c r="AC36" i="91" s="1"/>
  <c r="F87" i="91"/>
  <c r="G87" i="91" s="1"/>
  <c r="H19" i="91"/>
  <c r="AB19" i="91" s="1"/>
  <c r="AB10" i="91"/>
  <c r="S11" i="91"/>
  <c r="W11" i="91"/>
  <c r="U13" i="91"/>
  <c r="S14" i="91"/>
  <c r="W14" i="91"/>
  <c r="U15" i="91"/>
  <c r="S16" i="91"/>
  <c r="W16" i="91"/>
  <c r="S17" i="91"/>
  <c r="W17" i="91"/>
  <c r="S21" i="91"/>
  <c r="W21" i="91"/>
  <c r="S23" i="91"/>
  <c r="W23" i="91"/>
  <c r="S25" i="91"/>
  <c r="W25" i="91"/>
  <c r="AA27" i="91"/>
  <c r="S27" i="91"/>
  <c r="AC27" i="91"/>
  <c r="W27" i="91"/>
  <c r="S30" i="91"/>
  <c r="AB32" i="91"/>
  <c r="U32" i="91"/>
  <c r="F36" i="91"/>
  <c r="H36" i="91"/>
  <c r="AB40" i="91"/>
  <c r="U40" i="91"/>
  <c r="S40" i="91"/>
  <c r="U11" i="91"/>
  <c r="S13" i="91"/>
  <c r="W13" i="91"/>
  <c r="U14" i="91"/>
  <c r="S15" i="91"/>
  <c r="W15" i="91"/>
  <c r="U16" i="91"/>
  <c r="U17" i="91"/>
  <c r="U21" i="91"/>
  <c r="U23" i="91"/>
  <c r="U25" i="91"/>
  <c r="S29" i="91"/>
  <c r="W30" i="91"/>
  <c r="F32" i="91"/>
  <c r="W32" i="91"/>
  <c r="S34" i="91"/>
  <c r="U35" i="91"/>
  <c r="S38" i="91"/>
  <c r="U39" i="91"/>
  <c r="W40" i="91"/>
  <c r="S42" i="91"/>
  <c r="E50" i="91"/>
  <c r="F50" i="91" s="1"/>
  <c r="T43" i="91"/>
  <c r="U29" i="91"/>
  <c r="U30" i="91"/>
  <c r="S33" i="91"/>
  <c r="W33" i="91"/>
  <c r="U34" i="91"/>
  <c r="S35" i="91"/>
  <c r="W35" i="91"/>
  <c r="S37" i="91"/>
  <c r="W37" i="91"/>
  <c r="U38" i="91"/>
  <c r="S39" i="91"/>
  <c r="W39" i="91"/>
  <c r="S41" i="91"/>
  <c r="W41" i="91"/>
  <c r="U42" i="91"/>
  <c r="J32" i="88"/>
  <c r="W32" i="88" s="1"/>
  <c r="U11" i="88"/>
  <c r="S10" i="88"/>
  <c r="W10" i="88"/>
  <c r="S11" i="88"/>
  <c r="W11" i="88"/>
  <c r="AA13" i="88"/>
  <c r="S13" i="88"/>
  <c r="U13" i="88"/>
  <c r="W14" i="88"/>
  <c r="S16" i="88"/>
  <c r="AB36" i="88"/>
  <c r="U36" i="88"/>
  <c r="AB14" i="88"/>
  <c r="U14" i="88"/>
  <c r="S14" i="88"/>
  <c r="AA36" i="88"/>
  <c r="S36" i="88"/>
  <c r="AC36" i="88"/>
  <c r="W36" i="88"/>
  <c r="S19" i="88"/>
  <c r="W19" i="88"/>
  <c r="S21" i="88"/>
  <c r="W21" i="88"/>
  <c r="S23" i="88"/>
  <c r="W23" i="88"/>
  <c r="S25" i="88"/>
  <c r="W25" i="88"/>
  <c r="S27" i="88"/>
  <c r="W27" i="88"/>
  <c r="U29" i="88"/>
  <c r="U30" i="88"/>
  <c r="H32" i="88"/>
  <c r="S33" i="88"/>
  <c r="W33" i="88"/>
  <c r="U34" i="88"/>
  <c r="S35" i="88"/>
  <c r="W35" i="88"/>
  <c r="S37" i="88"/>
  <c r="W37" i="88"/>
  <c r="U38" i="88"/>
  <c r="S39" i="88"/>
  <c r="W39" i="88"/>
  <c r="U40" i="88"/>
  <c r="S41" i="88"/>
  <c r="W41" i="88"/>
  <c r="U42" i="88"/>
  <c r="I50" i="88"/>
  <c r="J50" i="88" s="1"/>
  <c r="R43" i="88"/>
  <c r="V43" i="88"/>
  <c r="W13" i="88"/>
  <c r="S15" i="88"/>
  <c r="W15" i="88"/>
  <c r="U16" i="88"/>
  <c r="U17" i="88"/>
  <c r="U19" i="88"/>
  <c r="U21" i="88"/>
  <c r="U23" i="88"/>
  <c r="U25" i="88"/>
  <c r="U27" i="88"/>
  <c r="S29" i="88"/>
  <c r="W29" i="88"/>
  <c r="S30" i="88"/>
  <c r="W30" i="88"/>
  <c r="F32" i="88"/>
  <c r="U33" i="88"/>
  <c r="S34" i="88"/>
  <c r="W34" i="88"/>
  <c r="U35" i="88"/>
  <c r="U37" i="88"/>
  <c r="S38" i="88"/>
  <c r="W38" i="88"/>
  <c r="U39" i="88"/>
  <c r="S40" i="88"/>
  <c r="W40" i="88"/>
  <c r="U41" i="88"/>
  <c r="S42" i="88"/>
  <c r="W42" i="88"/>
  <c r="T43" i="88"/>
  <c r="W17" i="88" l="1"/>
  <c r="S17" i="88"/>
  <c r="S19" i="91"/>
  <c r="W19" i="91"/>
  <c r="W36" i="91"/>
  <c r="U19" i="91"/>
  <c r="AA32" i="91"/>
  <c r="S32" i="91"/>
  <c r="AB36" i="91"/>
  <c r="U36" i="91"/>
  <c r="AA36" i="91"/>
  <c r="S36" i="91"/>
  <c r="AC32" i="88"/>
  <c r="AB32" i="88"/>
  <c r="U32" i="88"/>
  <c r="AA32" i="88"/>
  <c r="S32" i="88"/>
  <c r="J6" i="87" l="1"/>
  <c r="J5" i="87"/>
  <c r="J10" i="87"/>
  <c r="J9" i="87"/>
  <c r="J8" i="87"/>
  <c r="J7" i="87"/>
  <c r="J4" i="87"/>
  <c r="J3" i="87"/>
  <c r="L15" i="87"/>
  <c r="L16" i="87"/>
  <c r="M16" i="87" s="1"/>
  <c r="L17" i="87"/>
  <c r="L18" i="87"/>
  <c r="M18" i="87" s="1"/>
  <c r="L19" i="87"/>
  <c r="L20" i="87"/>
  <c r="M20" i="87" s="1"/>
  <c r="L21" i="87"/>
  <c r="L22" i="87"/>
  <c r="M22" i="87" s="1"/>
  <c r="L23" i="87"/>
  <c r="L24" i="87"/>
  <c r="M24" i="87" s="1"/>
  <c r="L14" i="87"/>
  <c r="M23" i="87"/>
  <c r="M21" i="87"/>
  <c r="M19" i="87"/>
  <c r="M17" i="87"/>
  <c r="M15" i="87"/>
  <c r="M14" i="87"/>
  <c r="I4" i="87"/>
  <c r="I5" i="87"/>
  <c r="I6" i="87"/>
  <c r="I7" i="87"/>
  <c r="I8" i="87"/>
  <c r="I9" i="87"/>
  <c r="I10" i="87"/>
  <c r="I3" i="87"/>
  <c r="J13" i="40" l="1"/>
  <c r="D67" i="40"/>
  <c r="D67" i="83"/>
  <c r="E13" i="40"/>
  <c r="I13" i="40"/>
  <c r="G13" i="40"/>
  <c r="I36" i="85"/>
  <c r="I43" i="85"/>
  <c r="G43" i="85"/>
  <c r="E43" i="85"/>
  <c r="I9" i="85"/>
  <c r="I14" i="83" l="1"/>
  <c r="G14" i="83"/>
  <c r="D67" i="85"/>
  <c r="I36" i="83"/>
  <c r="G36" i="83"/>
  <c r="E36" i="83"/>
  <c r="I9" i="83"/>
  <c r="G9" i="83"/>
  <c r="E9" i="83"/>
  <c r="I8" i="83"/>
  <c r="G8" i="83"/>
  <c r="E8" i="83"/>
  <c r="I7" i="83"/>
  <c r="G7" i="83"/>
  <c r="G36" i="85"/>
  <c r="E36" i="85"/>
  <c r="I12" i="85" l="1"/>
  <c r="G12" i="85"/>
  <c r="E12" i="85"/>
  <c r="I12" i="83"/>
  <c r="G12" i="83"/>
  <c r="G9" i="85"/>
  <c r="E9" i="85"/>
  <c r="G7" i="85"/>
  <c r="E7" i="85"/>
  <c r="B121" i="85"/>
  <c r="B119" i="85"/>
  <c r="H41" i="85" s="1"/>
  <c r="AB41" i="85" s="1"/>
  <c r="B117" i="85"/>
  <c r="D116" i="85"/>
  <c r="E116" i="85" s="1"/>
  <c r="F116" i="85" s="1"/>
  <c r="G116" i="85" s="1"/>
  <c r="H116" i="85" s="1"/>
  <c r="I116" i="85" s="1"/>
  <c r="J116" i="85" s="1"/>
  <c r="K116" i="85" s="1"/>
  <c r="L116" i="85" s="1"/>
  <c r="M116" i="85" s="1"/>
  <c r="E114" i="85"/>
  <c r="F114" i="85" s="1"/>
  <c r="G114" i="85" s="1"/>
  <c r="H114" i="85" s="1"/>
  <c r="I114" i="85" s="1"/>
  <c r="J114" i="85" s="1"/>
  <c r="K114" i="85" s="1"/>
  <c r="L114" i="85" s="1"/>
  <c r="M114" i="85" s="1"/>
  <c r="D114" i="85"/>
  <c r="G112" i="85"/>
  <c r="H112" i="85" s="1"/>
  <c r="I112" i="85" s="1"/>
  <c r="J112" i="85" s="1"/>
  <c r="K112" i="85" s="1"/>
  <c r="L112" i="85" s="1"/>
  <c r="M112" i="85" s="1"/>
  <c r="E112" i="85"/>
  <c r="F112" i="85" s="1"/>
  <c r="D112" i="85"/>
  <c r="M108" i="85"/>
  <c r="L108" i="85"/>
  <c r="K108" i="85"/>
  <c r="J108" i="85"/>
  <c r="I108" i="85"/>
  <c r="H108" i="85"/>
  <c r="G108" i="85"/>
  <c r="F108" i="85"/>
  <c r="E108" i="85"/>
  <c r="D108" i="85"/>
  <c r="C108" i="85"/>
  <c r="B106" i="85"/>
  <c r="B104" i="85"/>
  <c r="D103" i="85"/>
  <c r="B102" i="85"/>
  <c r="D101" i="85"/>
  <c r="E101" i="85" s="1"/>
  <c r="F101" i="85" s="1"/>
  <c r="G101" i="85" s="1"/>
  <c r="H101" i="85" s="1"/>
  <c r="I101" i="85" s="1"/>
  <c r="J101" i="85" s="1"/>
  <c r="K101" i="85" s="1"/>
  <c r="L101" i="85" s="1"/>
  <c r="M101" i="85" s="1"/>
  <c r="F99" i="85"/>
  <c r="G99" i="85" s="1"/>
  <c r="H99" i="85" s="1"/>
  <c r="I99" i="85" s="1"/>
  <c r="J99" i="85" s="1"/>
  <c r="K99" i="85" s="1"/>
  <c r="L99" i="85" s="1"/>
  <c r="M99" i="85" s="1"/>
  <c r="D99" i="85"/>
  <c r="E99" i="85" s="1"/>
  <c r="D97" i="85"/>
  <c r="E97" i="85" s="1"/>
  <c r="F97" i="85" s="1"/>
  <c r="G97" i="85" s="1"/>
  <c r="H97" i="85" s="1"/>
  <c r="I97" i="85" s="1"/>
  <c r="J97" i="85" s="1"/>
  <c r="K97" i="85" s="1"/>
  <c r="L97" i="85" s="1"/>
  <c r="M97" i="85" s="1"/>
  <c r="B96" i="85"/>
  <c r="G95" i="85"/>
  <c r="E95" i="85"/>
  <c r="F95" i="85" s="1"/>
  <c r="D95" i="85"/>
  <c r="E93" i="85"/>
  <c r="F93" i="85" s="1"/>
  <c r="G93" i="85" s="1"/>
  <c r="D93" i="85"/>
  <c r="G91" i="85"/>
  <c r="E91" i="85"/>
  <c r="F91" i="85" s="1"/>
  <c r="D91" i="85"/>
  <c r="E89" i="85"/>
  <c r="F89" i="85" s="1"/>
  <c r="G89" i="85" s="1"/>
  <c r="D89" i="85"/>
  <c r="D87" i="85"/>
  <c r="E87" i="85" s="1"/>
  <c r="E85" i="85"/>
  <c r="F85" i="85" s="1"/>
  <c r="G85" i="85" s="1"/>
  <c r="D85" i="85"/>
  <c r="B82" i="85"/>
  <c r="B80" i="85"/>
  <c r="B78" i="85"/>
  <c r="F77" i="85"/>
  <c r="G77" i="85" s="1"/>
  <c r="H77" i="85" s="1"/>
  <c r="I77" i="85" s="1"/>
  <c r="J77" i="85" s="1"/>
  <c r="K77" i="85" s="1"/>
  <c r="L77" i="85" s="1"/>
  <c r="M77" i="85" s="1"/>
  <c r="D77" i="85"/>
  <c r="E77" i="85" s="1"/>
  <c r="M75" i="85"/>
  <c r="L75" i="85"/>
  <c r="K75" i="85"/>
  <c r="J75" i="85"/>
  <c r="I75" i="85"/>
  <c r="H75" i="85"/>
  <c r="G75" i="85"/>
  <c r="F75" i="85"/>
  <c r="E75" i="85"/>
  <c r="D75" i="85"/>
  <c r="C75" i="85"/>
  <c r="M68" i="85"/>
  <c r="L68" i="85"/>
  <c r="K68" i="85"/>
  <c r="J68" i="85"/>
  <c r="I68" i="85"/>
  <c r="H68" i="85"/>
  <c r="G68" i="85"/>
  <c r="F68" i="85"/>
  <c r="E68" i="85"/>
  <c r="D68" i="85"/>
  <c r="E67" i="85"/>
  <c r="F67" i="85" s="1"/>
  <c r="G67" i="85" s="1"/>
  <c r="H67" i="85" s="1"/>
  <c r="I67" i="85" s="1"/>
  <c r="J67" i="85" s="1"/>
  <c r="K67" i="85" s="1"/>
  <c r="L67" i="85" s="1"/>
  <c r="M67" i="85" s="1"/>
  <c r="N67" i="85" s="1"/>
  <c r="E62" i="85"/>
  <c r="H61" i="85"/>
  <c r="I61" i="85" s="1"/>
  <c r="C61" i="85" s="1"/>
  <c r="E61" i="85"/>
  <c r="H60" i="85"/>
  <c r="I60" i="85" s="1"/>
  <c r="C60" i="85" s="1"/>
  <c r="E60" i="85"/>
  <c r="H59" i="85"/>
  <c r="I59" i="85" s="1"/>
  <c r="C59" i="85" s="1"/>
  <c r="E59" i="85"/>
  <c r="H58" i="85"/>
  <c r="I58" i="85" s="1"/>
  <c r="C58" i="85" s="1"/>
  <c r="E58" i="85"/>
  <c r="H57" i="85"/>
  <c r="I57" i="85" s="1"/>
  <c r="C57" i="85" s="1"/>
  <c r="E57" i="85"/>
  <c r="H56" i="85"/>
  <c r="I56" i="85" s="1"/>
  <c r="C56" i="85" s="1"/>
  <c r="I55" i="85"/>
  <c r="C55" i="85" s="1"/>
  <c r="H55" i="85"/>
  <c r="H54" i="85"/>
  <c r="I54" i="85" s="1"/>
  <c r="C54" i="85" s="1"/>
  <c r="E53" i="85"/>
  <c r="J52" i="85"/>
  <c r="P45" i="85"/>
  <c r="P44" i="85"/>
  <c r="K44" i="85"/>
  <c r="P43" i="85"/>
  <c r="Q42" i="85"/>
  <c r="Z42" i="85" s="1"/>
  <c r="J42" i="85"/>
  <c r="AC42" i="85" s="1"/>
  <c r="H42" i="85"/>
  <c r="AB42" i="85" s="1"/>
  <c r="F42" i="85"/>
  <c r="AA42" i="85" s="1"/>
  <c r="Q41" i="85"/>
  <c r="Z41" i="85" s="1"/>
  <c r="J41" i="85"/>
  <c r="AC41" i="85" s="1"/>
  <c r="F41" i="85"/>
  <c r="AA41" i="85" s="1"/>
  <c r="U40" i="85"/>
  <c r="Q40" i="85"/>
  <c r="Z40" i="85" s="1"/>
  <c r="I40" i="85"/>
  <c r="J40" i="85" s="1"/>
  <c r="G40" i="85"/>
  <c r="H40" i="85" s="1"/>
  <c r="AB40" i="85" s="1"/>
  <c r="F40" i="85"/>
  <c r="AA40" i="85" s="1"/>
  <c r="Q39" i="85"/>
  <c r="Z39" i="85" s="1"/>
  <c r="J39" i="85"/>
  <c r="AC39" i="85" s="1"/>
  <c r="H39" i="85"/>
  <c r="AB39" i="85" s="1"/>
  <c r="F39" i="85"/>
  <c r="AA39" i="85" s="1"/>
  <c r="Q38" i="85"/>
  <c r="Z38" i="85" s="1"/>
  <c r="J38" i="85"/>
  <c r="AC38" i="85" s="1"/>
  <c r="H38" i="85"/>
  <c r="AB38" i="85" s="1"/>
  <c r="F38" i="85"/>
  <c r="AA38" i="85" s="1"/>
  <c r="AC37" i="85"/>
  <c r="W37" i="85"/>
  <c r="Q37" i="85"/>
  <c r="Z37" i="85" s="1"/>
  <c r="J37" i="85"/>
  <c r="H37" i="85"/>
  <c r="AB37" i="85" s="1"/>
  <c r="F37" i="85"/>
  <c r="AA37" i="85" s="1"/>
  <c r="Q36" i="85"/>
  <c r="Z36" i="85" s="1"/>
  <c r="J36" i="85"/>
  <c r="H36" i="85"/>
  <c r="AB36" i="85" s="1"/>
  <c r="F36" i="85"/>
  <c r="C36" i="85"/>
  <c r="AC35" i="85"/>
  <c r="W35" i="85"/>
  <c r="Q35" i="85"/>
  <c r="Z35" i="85" s="1"/>
  <c r="J35" i="85"/>
  <c r="H35" i="85"/>
  <c r="AB35" i="85" s="1"/>
  <c r="F35" i="85"/>
  <c r="AA35" i="85" s="1"/>
  <c r="AB34" i="85"/>
  <c r="U34" i="85"/>
  <c r="Q34" i="85"/>
  <c r="Z34" i="85" s="1"/>
  <c r="J34" i="85"/>
  <c r="AC34" i="85" s="1"/>
  <c r="H34" i="85"/>
  <c r="F34" i="85"/>
  <c r="AA34" i="85" s="1"/>
  <c r="Q33" i="85"/>
  <c r="Z33" i="85" s="1"/>
  <c r="J33" i="85"/>
  <c r="AC33" i="85" s="1"/>
  <c r="H33" i="85"/>
  <c r="AB33" i="85" s="1"/>
  <c r="F33" i="85"/>
  <c r="AA33" i="85" s="1"/>
  <c r="Q32" i="85"/>
  <c r="Z32" i="85" s="1"/>
  <c r="C32" i="85"/>
  <c r="J32" i="85" s="1"/>
  <c r="Q30" i="85"/>
  <c r="Z30" i="85" s="1"/>
  <c r="J30" i="85"/>
  <c r="AC30" i="85" s="1"/>
  <c r="H30" i="85"/>
  <c r="AB30" i="85" s="1"/>
  <c r="F30" i="85"/>
  <c r="AA30" i="85" s="1"/>
  <c r="C30" i="85"/>
  <c r="Q29" i="85"/>
  <c r="Z29" i="85" s="1"/>
  <c r="J29" i="85"/>
  <c r="AC29" i="85" s="1"/>
  <c r="H29" i="85"/>
  <c r="AB29" i="85" s="1"/>
  <c r="F29" i="85"/>
  <c r="AA29" i="85" s="1"/>
  <c r="Q27" i="85"/>
  <c r="Z27" i="85" s="1"/>
  <c r="J27" i="85"/>
  <c r="AC27" i="85" s="1"/>
  <c r="H27" i="85"/>
  <c r="AB27" i="85" s="1"/>
  <c r="F27" i="85"/>
  <c r="AA27" i="85" s="1"/>
  <c r="C27" i="85"/>
  <c r="Q25" i="85"/>
  <c r="Z25" i="85" s="1"/>
  <c r="J25" i="85"/>
  <c r="AC25" i="85" s="1"/>
  <c r="H25" i="85"/>
  <c r="AB25" i="85" s="1"/>
  <c r="F25" i="85"/>
  <c r="AA25" i="85" s="1"/>
  <c r="C25" i="85"/>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F19" i="85"/>
  <c r="AA19" i="85" s="1"/>
  <c r="C19" i="85"/>
  <c r="Q17" i="85"/>
  <c r="Z17" i="85" s="1"/>
  <c r="J17" i="85"/>
  <c r="AC17" i="85" s="1"/>
  <c r="H17" i="85"/>
  <c r="AB17" i="85" s="1"/>
  <c r="F17" i="85"/>
  <c r="AA17" i="85" s="1"/>
  <c r="C17" i="85"/>
  <c r="Q16" i="85"/>
  <c r="Z16" i="85" s="1"/>
  <c r="J16" i="85"/>
  <c r="AC16" i="85" s="1"/>
  <c r="H16" i="85"/>
  <c r="AB16" i="85" s="1"/>
  <c r="F16" i="85"/>
  <c r="AA16" i="85" s="1"/>
  <c r="Q15" i="85"/>
  <c r="Z15" i="85" s="1"/>
  <c r="J15" i="85"/>
  <c r="AC15" i="85" s="1"/>
  <c r="H15" i="85"/>
  <c r="U15" i="85" s="1"/>
  <c r="F15" i="85"/>
  <c r="AA15" i="85" s="1"/>
  <c r="Q14" i="85"/>
  <c r="Z14" i="85" s="1"/>
  <c r="J14" i="85"/>
  <c r="AC14" i="85" s="1"/>
  <c r="H14" i="85"/>
  <c r="AB14" i="85" s="1"/>
  <c r="F14" i="85"/>
  <c r="AA14" i="85" s="1"/>
  <c r="Q13" i="85"/>
  <c r="Z13" i="85" s="1"/>
  <c r="J13" i="85"/>
  <c r="AC13" i="85" s="1"/>
  <c r="H13" i="85"/>
  <c r="AB13" i="85" s="1"/>
  <c r="F13" i="85"/>
  <c r="AA13" i="85" s="1"/>
  <c r="Q12" i="85"/>
  <c r="Z12" i="85" s="1"/>
  <c r="Q11" i="85"/>
  <c r="Z11" i="85" s="1"/>
  <c r="J11" i="85"/>
  <c r="AC11" i="85" s="1"/>
  <c r="H11" i="85"/>
  <c r="AB11" i="85" s="1"/>
  <c r="F11" i="85"/>
  <c r="AA11" i="85" s="1"/>
  <c r="U10" i="85"/>
  <c r="J10" i="85"/>
  <c r="W10" i="85" s="1"/>
  <c r="H10" i="85"/>
  <c r="AB10" i="85" s="1"/>
  <c r="F10" i="85"/>
  <c r="S10" i="85" s="1"/>
  <c r="I43" i="83"/>
  <c r="G43" i="83"/>
  <c r="E43" i="83"/>
  <c r="B46" i="72"/>
  <c r="E7" i="83"/>
  <c r="C68" i="40"/>
  <c r="B38" i="72"/>
  <c r="K17" i="74"/>
  <c r="D39" i="72"/>
  <c r="K12" i="74"/>
  <c r="K11" i="74"/>
  <c r="K10" i="74"/>
  <c r="K9" i="74"/>
  <c r="K8" i="74"/>
  <c r="K4" i="74"/>
  <c r="K3" i="74"/>
  <c r="K5" i="74"/>
  <c r="K6" i="74"/>
  <c r="K7" i="74"/>
  <c r="P14" i="74"/>
  <c r="O14" i="74"/>
  <c r="F87" i="85" l="1"/>
  <c r="G87" i="85" s="1"/>
  <c r="H19" i="85"/>
  <c r="AB19" i="85" s="1"/>
  <c r="W41" i="85"/>
  <c r="U36" i="85"/>
  <c r="AC32" i="85"/>
  <c r="W32" i="85"/>
  <c r="U11" i="85"/>
  <c r="AB15" i="85"/>
  <c r="S16" i="85"/>
  <c r="W16" i="85"/>
  <c r="S17" i="85"/>
  <c r="W17" i="85"/>
  <c r="S19" i="85"/>
  <c r="W19" i="85"/>
  <c r="S25" i="85"/>
  <c r="W25" i="85"/>
  <c r="S27" i="85"/>
  <c r="W27" i="85"/>
  <c r="U29" i="85"/>
  <c r="U30" i="85"/>
  <c r="H32" i="85"/>
  <c r="S33" i="85"/>
  <c r="AA36" i="85"/>
  <c r="S36" i="85"/>
  <c r="AC36" i="85"/>
  <c r="W36" i="85"/>
  <c r="S39" i="85"/>
  <c r="AC40" i="85"/>
  <c r="W40" i="85"/>
  <c r="E50" i="85"/>
  <c r="F50" i="85" s="1"/>
  <c r="I50" i="85"/>
  <c r="J50" i="85" s="1"/>
  <c r="R43" i="85"/>
  <c r="AA10" i="85"/>
  <c r="AC10" i="85"/>
  <c r="U13" i="85"/>
  <c r="S14" i="85"/>
  <c r="W14" i="85"/>
  <c r="S21" i="85"/>
  <c r="W21" i="85"/>
  <c r="S23" i="85"/>
  <c r="W23" i="85"/>
  <c r="S11" i="85"/>
  <c r="W11" i="85"/>
  <c r="S13" i="85"/>
  <c r="W13" i="85"/>
  <c r="U14" i="85"/>
  <c r="S15" i="85"/>
  <c r="W15" i="85"/>
  <c r="U16" i="85"/>
  <c r="U17" i="85"/>
  <c r="U21" i="85"/>
  <c r="U23" i="85"/>
  <c r="U25" i="85"/>
  <c r="U27" i="85"/>
  <c r="S29" i="85"/>
  <c r="W29" i="85"/>
  <c r="S30" i="85"/>
  <c r="W30" i="85"/>
  <c r="F32" i="85"/>
  <c r="W33" i="85"/>
  <c r="S35" i="85"/>
  <c r="S37" i="85"/>
  <c r="U38" i="85"/>
  <c r="W39" i="85"/>
  <c r="S41" i="85"/>
  <c r="U42" i="85"/>
  <c r="V43" i="85"/>
  <c r="U33" i="85"/>
  <c r="S34" i="85"/>
  <c r="W34" i="85"/>
  <c r="U35" i="85"/>
  <c r="U37" i="85"/>
  <c r="S38" i="85"/>
  <c r="W38" i="85"/>
  <c r="U39" i="85"/>
  <c r="S40" i="85"/>
  <c r="U41" i="85"/>
  <c r="S42" i="85"/>
  <c r="W42" i="85"/>
  <c r="G50" i="85"/>
  <c r="H50" i="85" s="1"/>
  <c r="T43" i="85"/>
  <c r="U19" i="85" l="1"/>
  <c r="AA32" i="85"/>
  <c r="S32" i="85"/>
  <c r="AB32" i="85"/>
  <c r="U32" i="85"/>
  <c r="G4" i="77"/>
  <c r="G5" i="77"/>
  <c r="G6" i="77"/>
  <c r="G7" i="77"/>
  <c r="G8" i="77"/>
  <c r="G9" i="77"/>
  <c r="G10" i="77"/>
  <c r="G3" i="77"/>
  <c r="B121" i="83" l="1"/>
  <c r="B119" i="83"/>
  <c r="B117"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M108" i="83"/>
  <c r="L108" i="83"/>
  <c r="K108" i="83"/>
  <c r="J108" i="83"/>
  <c r="I108" i="83"/>
  <c r="H108" i="83"/>
  <c r="G108" i="83"/>
  <c r="F108" i="83"/>
  <c r="E108" i="83"/>
  <c r="D108" i="83"/>
  <c r="C108" i="83"/>
  <c r="B106" i="83"/>
  <c r="B104" i="83"/>
  <c r="D103" i="83"/>
  <c r="B102" i="83"/>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D97" i="83"/>
  <c r="E97" i="83" s="1"/>
  <c r="F97" i="83" s="1"/>
  <c r="G97" i="83" s="1"/>
  <c r="H97" i="83" s="1"/>
  <c r="I97" i="83" s="1"/>
  <c r="J97" i="83" s="1"/>
  <c r="K97" i="83" s="1"/>
  <c r="L97" i="83" s="1"/>
  <c r="M97" i="83" s="1"/>
  <c r="B96" i="83"/>
  <c r="D95" i="83"/>
  <c r="E95" i="83" s="1"/>
  <c r="E93" i="83"/>
  <c r="F93" i="83" s="1"/>
  <c r="G93" i="83" s="1"/>
  <c r="D93" i="83"/>
  <c r="E91" i="83"/>
  <c r="F91" i="83" s="1"/>
  <c r="G91" i="83" s="1"/>
  <c r="D91" i="83"/>
  <c r="D89" i="83"/>
  <c r="E89" i="83" s="1"/>
  <c r="D87" i="83"/>
  <c r="E87" i="83" s="1"/>
  <c r="D85" i="83"/>
  <c r="E85" i="83" s="1"/>
  <c r="B82" i="83"/>
  <c r="B80" i="83"/>
  <c r="B78" i="83"/>
  <c r="D77" i="83"/>
  <c r="E77" i="83" s="1"/>
  <c r="F77" i="83" s="1"/>
  <c r="G77" i="83" s="1"/>
  <c r="H77" i="83" s="1"/>
  <c r="I77" i="83" s="1"/>
  <c r="J77" i="83" s="1"/>
  <c r="K77" i="83" s="1"/>
  <c r="L77" i="83" s="1"/>
  <c r="M77" i="83" s="1"/>
  <c r="M75" i="83"/>
  <c r="L75" i="83"/>
  <c r="K75" i="83"/>
  <c r="J75" i="83"/>
  <c r="I75" i="83"/>
  <c r="H75" i="83"/>
  <c r="G75" i="83"/>
  <c r="F75" i="83"/>
  <c r="E75" i="83"/>
  <c r="D75" i="83"/>
  <c r="C75" i="83"/>
  <c r="M68" i="83"/>
  <c r="L68" i="83"/>
  <c r="K68" i="83"/>
  <c r="J68" i="83"/>
  <c r="I68" i="83"/>
  <c r="H68" i="83"/>
  <c r="G68" i="83"/>
  <c r="F68" i="83"/>
  <c r="E68" i="83"/>
  <c r="D68" i="83"/>
  <c r="E67" i="83"/>
  <c r="F67" i="83" s="1"/>
  <c r="G67" i="83" s="1"/>
  <c r="H67" i="83" s="1"/>
  <c r="I67" i="83" s="1"/>
  <c r="J67" i="83" s="1"/>
  <c r="K67" i="83" s="1"/>
  <c r="L67" i="83" s="1"/>
  <c r="M67" i="83" s="1"/>
  <c r="N67" i="83" s="1"/>
  <c r="O67" i="83" s="1"/>
  <c r="P67" i="83" s="1"/>
  <c r="Q67" i="83" s="1"/>
  <c r="R67" i="83" s="1"/>
  <c r="S67" i="83" s="1"/>
  <c r="T67" i="83" s="1"/>
  <c r="U67" i="83" s="1"/>
  <c r="E62" i="83"/>
  <c r="H61" i="83"/>
  <c r="I61" i="83" s="1"/>
  <c r="C61" i="83" s="1"/>
  <c r="E61" i="83"/>
  <c r="H60" i="83"/>
  <c r="I60" i="83" s="1"/>
  <c r="C60" i="83" s="1"/>
  <c r="E60" i="83"/>
  <c r="H59" i="83"/>
  <c r="I59" i="83" s="1"/>
  <c r="C59" i="83" s="1"/>
  <c r="E59" i="83"/>
  <c r="H58" i="83"/>
  <c r="I58" i="83" s="1"/>
  <c r="C58" i="83" s="1"/>
  <c r="E58" i="83"/>
  <c r="H57" i="83"/>
  <c r="I57" i="83" s="1"/>
  <c r="C57" i="83" s="1"/>
  <c r="E57" i="83"/>
  <c r="H56" i="83"/>
  <c r="I56" i="83" s="1"/>
  <c r="C56" i="83" s="1"/>
  <c r="I55" i="83"/>
  <c r="C55" i="83" s="1"/>
  <c r="H55" i="83"/>
  <c r="H54" i="83"/>
  <c r="I54" i="83" s="1"/>
  <c r="C54" i="83"/>
  <c r="E53" i="83"/>
  <c r="J52" i="83"/>
  <c r="P45" i="83"/>
  <c r="P44" i="83"/>
  <c r="K44" i="83"/>
  <c r="P43"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J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C32" i="83"/>
  <c r="H32" i="83" s="1"/>
  <c r="Q30" i="83"/>
  <c r="Z30" i="83" s="1"/>
  <c r="J30" i="83"/>
  <c r="AC30" i="83" s="1"/>
  <c r="H30" i="83"/>
  <c r="AB30" i="83" s="1"/>
  <c r="F30" i="83"/>
  <c r="AA30" i="83" s="1"/>
  <c r="C30" i="83"/>
  <c r="Q29" i="83"/>
  <c r="Z29" i="83" s="1"/>
  <c r="J29" i="83"/>
  <c r="AC29" i="83" s="1"/>
  <c r="H29" i="83"/>
  <c r="AB29" i="83" s="1"/>
  <c r="F29" i="83"/>
  <c r="AA29" i="83" s="1"/>
  <c r="Q27" i="83"/>
  <c r="Z27" i="83" s="1"/>
  <c r="C27" i="83"/>
  <c r="Q25" i="83"/>
  <c r="Z25" i="83" s="1"/>
  <c r="J25" i="83"/>
  <c r="AC25" i="83" s="1"/>
  <c r="H25" i="83"/>
  <c r="AB25" i="83" s="1"/>
  <c r="F25" i="83"/>
  <c r="AA25" i="83" s="1"/>
  <c r="C25" i="83"/>
  <c r="Q23" i="83"/>
  <c r="Z23" i="83" s="1"/>
  <c r="J23" i="83"/>
  <c r="AC23" i="83" s="1"/>
  <c r="H23" i="83"/>
  <c r="AB23" i="83" s="1"/>
  <c r="F23" i="83"/>
  <c r="AA23" i="83" s="1"/>
  <c r="C23" i="83"/>
  <c r="Q21" i="83"/>
  <c r="Z21" i="83" s="1"/>
  <c r="J21" i="83"/>
  <c r="AC21" i="83" s="1"/>
  <c r="H21" i="83"/>
  <c r="AB21" i="83" s="1"/>
  <c r="C21" i="83"/>
  <c r="Q19" i="83"/>
  <c r="Z19" i="83" s="1"/>
  <c r="J19" i="83"/>
  <c r="AC19" i="83" s="1"/>
  <c r="F19" i="83"/>
  <c r="AA19" i="83" s="1"/>
  <c r="C19" i="83"/>
  <c r="Q17" i="83"/>
  <c r="Z17" i="83" s="1"/>
  <c r="J17" i="83"/>
  <c r="AC17" i="83" s="1"/>
  <c r="H17" i="83"/>
  <c r="AB17" i="83" s="1"/>
  <c r="C17" i="83"/>
  <c r="Q16" i="83"/>
  <c r="Z16" i="83" s="1"/>
  <c r="J16" i="83"/>
  <c r="AC16" i="83" s="1"/>
  <c r="H16" i="83"/>
  <c r="AB16" i="83" s="1"/>
  <c r="F16" i="83"/>
  <c r="AA16" i="83" s="1"/>
  <c r="Q15" i="83"/>
  <c r="Z15" i="83" s="1"/>
  <c r="J15" i="83"/>
  <c r="H15" i="83"/>
  <c r="AB15" i="83" s="1"/>
  <c r="F15" i="83"/>
  <c r="AA15" i="83" s="1"/>
  <c r="Q14" i="83"/>
  <c r="Z14" i="83" s="1"/>
  <c r="J14" i="83"/>
  <c r="AC14" i="83" s="1"/>
  <c r="H14" i="83"/>
  <c r="AB14" i="83" s="1"/>
  <c r="F14" i="83"/>
  <c r="AA14" i="83" s="1"/>
  <c r="AC13" i="83"/>
  <c r="W13" i="83"/>
  <c r="Q13" i="83"/>
  <c r="Z13" i="83" s="1"/>
  <c r="J13" i="83"/>
  <c r="H13" i="83"/>
  <c r="AB13" i="83" s="1"/>
  <c r="F13" i="83"/>
  <c r="AA13" i="83" s="1"/>
  <c r="Q12" i="83"/>
  <c r="Z12" i="83" s="1"/>
  <c r="Q11" i="83"/>
  <c r="Z11" i="83" s="1"/>
  <c r="J11" i="83"/>
  <c r="AC11" i="83" s="1"/>
  <c r="H11" i="83"/>
  <c r="AB11" i="83" s="1"/>
  <c r="F11" i="83"/>
  <c r="AA11" i="83" s="1"/>
  <c r="J10" i="83"/>
  <c r="W10" i="83" s="1"/>
  <c r="H10" i="83"/>
  <c r="AB10" i="83" s="1"/>
  <c r="F10" i="83"/>
  <c r="S10" i="83" s="1"/>
  <c r="U10" i="83" l="1"/>
  <c r="F32" i="83"/>
  <c r="AA32" i="83" s="1"/>
  <c r="F87" i="83"/>
  <c r="G87" i="83" s="1"/>
  <c r="H19" i="83"/>
  <c r="AB19" i="83" s="1"/>
  <c r="F95" i="83"/>
  <c r="G95" i="83" s="1"/>
  <c r="J27" i="83"/>
  <c r="AC27" i="83" s="1"/>
  <c r="F27" i="83"/>
  <c r="AA27" i="83" s="1"/>
  <c r="H27" i="83"/>
  <c r="AB27" i="83" s="1"/>
  <c r="F89" i="83"/>
  <c r="G89" i="83" s="1"/>
  <c r="F21" i="83"/>
  <c r="AA21" i="83" s="1"/>
  <c r="F85" i="83"/>
  <c r="G85" i="83" s="1"/>
  <c r="F17" i="83"/>
  <c r="AA17" i="83" s="1"/>
  <c r="AA10" i="83"/>
  <c r="AC10" i="83"/>
  <c r="AB32" i="83"/>
  <c r="U32" i="83"/>
  <c r="U11" i="83"/>
  <c r="AC15" i="83"/>
  <c r="W15" i="83"/>
  <c r="S15" i="83"/>
  <c r="AC36" i="83"/>
  <c r="W36" i="83"/>
  <c r="S11" i="83"/>
  <c r="W11" i="83"/>
  <c r="S13" i="83"/>
  <c r="U14" i="83"/>
  <c r="U16" i="83"/>
  <c r="U17" i="83"/>
  <c r="U21" i="83"/>
  <c r="U23" i="83"/>
  <c r="U25" i="83"/>
  <c r="S29" i="83"/>
  <c r="W29" i="83"/>
  <c r="S30" i="83"/>
  <c r="W30" i="83"/>
  <c r="W32" i="83"/>
  <c r="U33" i="83"/>
  <c r="S34" i="83"/>
  <c r="W34" i="83"/>
  <c r="U35" i="83"/>
  <c r="F36" i="83"/>
  <c r="H36" i="83"/>
  <c r="U37" i="83"/>
  <c r="S38" i="83"/>
  <c r="W38" i="83"/>
  <c r="U39" i="83"/>
  <c r="S40" i="83"/>
  <c r="W40" i="83"/>
  <c r="U41" i="83"/>
  <c r="S42" i="83"/>
  <c r="W42" i="83"/>
  <c r="U13" i="83"/>
  <c r="S14" i="83"/>
  <c r="W14" i="83"/>
  <c r="U15" i="83"/>
  <c r="S16" i="83"/>
  <c r="W16" i="83"/>
  <c r="W17" i="83"/>
  <c r="S19" i="83"/>
  <c r="W19" i="83"/>
  <c r="W21" i="83"/>
  <c r="S23" i="83"/>
  <c r="W23" i="83"/>
  <c r="S25" i="83"/>
  <c r="W25" i="83"/>
  <c r="S27" i="83"/>
  <c r="W27" i="83"/>
  <c r="U29" i="83"/>
  <c r="U30" i="83"/>
  <c r="S33" i="83"/>
  <c r="W33" i="83"/>
  <c r="U34" i="83"/>
  <c r="S35" i="83"/>
  <c r="W35" i="83"/>
  <c r="S37" i="83"/>
  <c r="W37" i="83"/>
  <c r="U38" i="83"/>
  <c r="S39" i="83"/>
  <c r="W39" i="83"/>
  <c r="U40" i="83"/>
  <c r="S41" i="83"/>
  <c r="W41" i="83"/>
  <c r="U42" i="83"/>
  <c r="S32" i="83" l="1"/>
  <c r="U19" i="83"/>
  <c r="U27" i="83"/>
  <c r="S21" i="83"/>
  <c r="S17" i="83"/>
  <c r="AA36" i="83"/>
  <c r="S36" i="83"/>
  <c r="AB36" i="83"/>
  <c r="U36" i="83"/>
  <c r="H27" i="74"/>
  <c r="G27" i="74"/>
  <c r="G26" i="74"/>
  <c r="H12" i="74" l="1"/>
  <c r="H11" i="74"/>
  <c r="H10" i="74"/>
  <c r="H9" i="74"/>
  <c r="H8" i="74"/>
  <c r="H7" i="74"/>
  <c r="H6" i="74"/>
  <c r="H5" i="74"/>
  <c r="H4" i="74"/>
  <c r="H3" i="74"/>
  <c r="J24" i="80"/>
  <c r="J22" i="80"/>
  <c r="V9" i="77"/>
  <c r="V7" i="77"/>
  <c r="V6" i="77"/>
  <c r="M6" i="77"/>
  <c r="P6" i="77" s="1"/>
  <c r="R9" i="77"/>
  <c r="S9" i="77" s="1"/>
  <c r="G9" i="40"/>
  <c r="H33" i="40"/>
  <c r="AB33" i="40" s="1"/>
  <c r="G36" i="40"/>
  <c r="H36" i="40" s="1"/>
  <c r="R6" i="77"/>
  <c r="S6" i="77" s="1"/>
  <c r="E9" i="40"/>
  <c r="F33" i="40"/>
  <c r="AA33" i="40" s="1"/>
  <c r="E36" i="40"/>
  <c r="F36" i="40" s="1"/>
  <c r="R7" i="77"/>
  <c r="S7" i="77" s="1"/>
  <c r="I43" i="40" s="1"/>
  <c r="I9" i="40"/>
  <c r="J33" i="40"/>
  <c r="AC33" i="40" s="1"/>
  <c r="I36" i="40"/>
  <c r="J36" i="40" s="1"/>
  <c r="L6" i="70"/>
  <c r="S5" i="70"/>
  <c r="S6" i="70"/>
  <c r="M6" i="70"/>
  <c r="T5" i="70"/>
  <c r="W5" i="70" s="1"/>
  <c r="T6" i="70"/>
  <c r="W6" i="70" s="1"/>
  <c r="N6" i="70"/>
  <c r="U5" i="70" s="1"/>
  <c r="U6" i="70"/>
  <c r="O6" i="70"/>
  <c r="V5" i="70" s="1"/>
  <c r="V6" i="70"/>
  <c r="F3" i="74"/>
  <c r="G3" i="74"/>
  <c r="D3" i="74"/>
  <c r="J3" i="74"/>
  <c r="F4" i="74"/>
  <c r="G4" i="74"/>
  <c r="D4" i="74"/>
  <c r="J4" i="74"/>
  <c r="F5" i="74"/>
  <c r="G5" i="74"/>
  <c r="D5" i="74"/>
  <c r="J5" i="74"/>
  <c r="F6" i="74"/>
  <c r="G6" i="74"/>
  <c r="D6" i="74"/>
  <c r="J6" i="74"/>
  <c r="F7" i="74"/>
  <c r="G7" i="74"/>
  <c r="D7" i="74"/>
  <c r="J7" i="74"/>
  <c r="J6" i="82"/>
  <c r="J5" i="82"/>
  <c r="J4" i="82"/>
  <c r="J3" i="82"/>
  <c r="J29" i="80"/>
  <c r="J28" i="80"/>
  <c r="J27" i="80"/>
  <c r="J26" i="80"/>
  <c r="J25" i="80"/>
  <c r="J23" i="80"/>
  <c r="J21" i="80"/>
  <c r="J20" i="80"/>
  <c r="J19" i="80"/>
  <c r="J18" i="80"/>
  <c r="J17" i="80"/>
  <c r="J16" i="80"/>
  <c r="J15" i="80"/>
  <c r="J14" i="80"/>
  <c r="J13" i="80"/>
  <c r="J12" i="80"/>
  <c r="J11" i="80"/>
  <c r="J10" i="80"/>
  <c r="J9" i="80"/>
  <c r="J8" i="80"/>
  <c r="J7" i="80"/>
  <c r="J6" i="80"/>
  <c r="J5" i="80"/>
  <c r="J4" i="80"/>
  <c r="J3" i="80"/>
  <c r="J15" i="79"/>
  <c r="J14" i="79"/>
  <c r="J13" i="79"/>
  <c r="J11" i="79"/>
  <c r="J10" i="79"/>
  <c r="J9" i="79"/>
  <c r="J8" i="79"/>
  <c r="J7" i="79"/>
  <c r="J5" i="79"/>
  <c r="J3" i="79"/>
  <c r="D103" i="40"/>
  <c r="I40" i="40"/>
  <c r="G40" i="40"/>
  <c r="D85" i="40"/>
  <c r="F17" i="40" s="1"/>
  <c r="F21" i="40"/>
  <c r="AA21" i="40"/>
  <c r="F23" i="40"/>
  <c r="AA23" i="40"/>
  <c r="F11" i="40"/>
  <c r="AA11" i="40"/>
  <c r="F14" i="40"/>
  <c r="AA14" i="40"/>
  <c r="F40" i="40"/>
  <c r="AA40" i="40"/>
  <c r="D87" i="40"/>
  <c r="F19" i="40"/>
  <c r="AA19" i="40"/>
  <c r="B2" i="1"/>
  <c r="C9" i="40" s="1"/>
  <c r="C64" i="40" s="1"/>
  <c r="H21" i="40"/>
  <c r="AB21" i="40"/>
  <c r="H23" i="40"/>
  <c r="AB23" i="40"/>
  <c r="H11" i="40"/>
  <c r="AB11" i="40"/>
  <c r="H14" i="40"/>
  <c r="AB14" i="40"/>
  <c r="H40" i="40"/>
  <c r="AB40" i="40"/>
  <c r="E87" i="40"/>
  <c r="H19" i="40"/>
  <c r="AB19" i="40"/>
  <c r="J21" i="40"/>
  <c r="AC21" i="40"/>
  <c r="J23" i="40"/>
  <c r="AC23" i="40"/>
  <c r="J11" i="40"/>
  <c r="AC11" i="40"/>
  <c r="J14" i="40"/>
  <c r="AC14" i="40"/>
  <c r="J40" i="40"/>
  <c r="AC40" i="40"/>
  <c r="J19" i="40"/>
  <c r="AC19" i="40"/>
  <c r="C28" i="46"/>
  <c r="H19" i="4"/>
  <c r="F6" i="1" s="1"/>
  <c r="C20" i="46"/>
  <c r="C5" i="46" s="1"/>
  <c r="C1" i="65"/>
  <c r="N1" i="65" s="1"/>
  <c r="C42" i="1"/>
  <c r="C28" i="15"/>
  <c r="J51" i="15"/>
  <c r="A27" i="72"/>
  <c r="A36" i="72" s="1"/>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7" i="40"/>
  <c r="J17" i="74"/>
  <c r="G7" i="40"/>
  <c r="D11" i="72"/>
  <c r="D10" i="72"/>
  <c r="D30" i="72"/>
  <c r="E67" i="40"/>
  <c r="F67" i="40" s="1"/>
  <c r="G67" i="40" s="1"/>
  <c r="H67" i="40" s="1"/>
  <c r="I67" i="40" s="1"/>
  <c r="J67" i="40" s="1"/>
  <c r="K67" i="40" s="1"/>
  <c r="L67" i="40" s="1"/>
  <c r="M67" i="40" s="1"/>
  <c r="M68" i="40"/>
  <c r="L68" i="40"/>
  <c r="K68" i="40"/>
  <c r="J68" i="40"/>
  <c r="I68" i="40"/>
  <c r="H68" i="40"/>
  <c r="G68" i="40"/>
  <c r="F68" i="40"/>
  <c r="E68" i="40"/>
  <c r="D68" i="40"/>
  <c r="C36" i="40"/>
  <c r="E7" i="40"/>
  <c r="R3" i="77"/>
  <c r="S3" i="77" s="1"/>
  <c r="R4" i="77"/>
  <c r="S4" i="77" s="1"/>
  <c r="R5" i="77"/>
  <c r="S5" i="77" s="1"/>
  <c r="R8" i="77"/>
  <c r="S8" i="77" s="1"/>
  <c r="R10" i="77"/>
  <c r="S10" i="77" s="1"/>
  <c r="M3" i="77"/>
  <c r="M4" i="77"/>
  <c r="C4" i="77"/>
  <c r="M5" i="77"/>
  <c r="K3" i="75"/>
  <c r="K4" i="75"/>
  <c r="K5" i="75"/>
  <c r="K6" i="75"/>
  <c r="K7" i="75"/>
  <c r="K2" i="75"/>
  <c r="M7" i="77"/>
  <c r="P7" i="77" s="1"/>
  <c r="M8" i="77"/>
  <c r="M9" i="77"/>
  <c r="P9" i="77" s="1"/>
  <c r="M10" i="77"/>
  <c r="B8" i="75"/>
  <c r="G12" i="74"/>
  <c r="F12" i="74"/>
  <c r="D12" i="74"/>
  <c r="J12" i="74"/>
  <c r="E9" i="74"/>
  <c r="F9" i="74"/>
  <c r="G9" i="74"/>
  <c r="D9" i="74"/>
  <c r="J9" i="74"/>
  <c r="E10" i="74"/>
  <c r="F10" i="74"/>
  <c r="G10" i="74"/>
  <c r="D10" i="74"/>
  <c r="J10" i="74"/>
  <c r="E11" i="74"/>
  <c r="F11" i="74"/>
  <c r="G11" i="74"/>
  <c r="D11" i="74"/>
  <c r="J11" i="74"/>
  <c r="B12" i="74"/>
  <c r="G8" i="74"/>
  <c r="F8" i="74"/>
  <c r="D8" i="74"/>
  <c r="J8" i="74"/>
  <c r="E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I7" i="85" s="1"/>
  <c r="P16" i="74"/>
  <c r="P17" i="74"/>
  <c r="P18" i="74"/>
  <c r="P19" i="74"/>
  <c r="P20" i="74"/>
  <c r="P21" i="74"/>
  <c r="P22" i="74"/>
  <c r="P23" i="74"/>
  <c r="P24" i="74"/>
  <c r="P15" i="74"/>
  <c r="B6" i="74"/>
  <c r="E4" i="74"/>
  <c r="B4" i="74"/>
  <c r="B7" i="74"/>
  <c r="G2" i="74"/>
  <c r="F2" i="74"/>
  <c r="E3" i="74"/>
  <c r="B3" i="74"/>
  <c r="E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B19"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C20" i="74"/>
  <c r="B20" i="74"/>
  <c r="C23" i="74"/>
  <c r="B23" i="74"/>
  <c r="C22" i="74"/>
  <c r="B22" i="74"/>
  <c r="B21" i="74"/>
  <c r="C19" i="74"/>
  <c r="C9" i="11"/>
  <c r="D8" i="11"/>
  <c r="D15" i="72"/>
  <c r="D13" i="72"/>
  <c r="E4" i="72"/>
  <c r="B3" i="72"/>
  <c r="D33" i="46"/>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P6" i="70"/>
  <c r="K7" i="70"/>
  <c r="L7" i="70"/>
  <c r="M7" i="70"/>
  <c r="P7" i="70"/>
  <c r="N7" i="70"/>
  <c r="O7" i="70"/>
  <c r="K8" i="70"/>
  <c r="L8" i="70"/>
  <c r="M8" i="70"/>
  <c r="P8" i="70"/>
  <c r="N8" i="70"/>
  <c r="O8" i="70"/>
  <c r="I26" i="70"/>
  <c r="AD26" i="70"/>
  <c r="I27" i="70"/>
  <c r="I28" i="70"/>
  <c r="I6" i="70"/>
  <c r="I7" i="70"/>
  <c r="I8" i="70"/>
  <c r="P28" i="70"/>
  <c r="B3" i="69"/>
  <c r="C7" i="69"/>
  <c r="D7" i="69" s="1"/>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5" i="70"/>
  <c r="AB3" i="70"/>
  <c r="AA9" i="70"/>
  <c r="AD9" i="70"/>
  <c r="Z9" i="70"/>
  <c r="Y9" i="70"/>
  <c r="AC5" i="70"/>
  <c r="AC3" i="70" s="1"/>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G13" i="1" s="1"/>
  <c r="D13" i="1"/>
  <c r="D12" i="1"/>
  <c r="D11" i="1"/>
  <c r="D10" i="1"/>
  <c r="D9" i="1"/>
  <c r="D8" i="1"/>
  <c r="D7" i="1"/>
  <c r="D6" i="1"/>
  <c r="C19" i="4"/>
  <c r="D19" i="4"/>
  <c r="F7" i="1"/>
  <c r="K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S8" i="70"/>
  <c r="S7" i="70"/>
  <c r="U7" i="70"/>
  <c r="U8" i="70"/>
  <c r="P9" i="70"/>
  <c r="T7" i="70"/>
  <c r="W7" i="70"/>
  <c r="T8" i="70"/>
  <c r="W8" i="70"/>
  <c r="AB23" i="70"/>
  <c r="T23" i="70"/>
  <c r="W23" i="70"/>
  <c r="Z2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s="1"/>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s="1"/>
  <c r="C55" i="10"/>
  <c r="C54" i="10"/>
  <c r="B49" i="63"/>
  <c r="B44" i="63"/>
  <c r="B40" i="63"/>
  <c r="B30" i="63"/>
  <c r="B27" i="63"/>
  <c r="B25" i="63"/>
  <c r="A11" i="51"/>
  <c r="B10" i="63"/>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A9" i="64" s="1"/>
  <c r="B59" i="63"/>
  <c r="B51" i="10"/>
  <c r="A15" i="51"/>
  <c r="B12" i="63"/>
  <c r="A14" i="51"/>
  <c r="B11" i="63"/>
  <c r="A4" i="55"/>
  <c r="B57" i="63"/>
  <c r="B41" i="63"/>
  <c r="G5" i="54"/>
  <c r="B34" i="63"/>
  <c r="E5" i="54"/>
  <c r="B32" i="63"/>
  <c r="R2" i="54"/>
  <c r="B24" i="63" s="1"/>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s="1"/>
  <c r="A2" i="9"/>
  <c r="T16" i="4"/>
  <c r="D14" i="4"/>
  <c r="M4" i="9"/>
  <c r="L4" i="9"/>
  <c r="G36" i="4"/>
  <c r="K2" i="54"/>
  <c r="B23" i="63" s="1"/>
  <c r="A3" i="51"/>
  <c r="R41" i="4"/>
  <c r="Q41" i="4"/>
  <c r="P41" i="4"/>
  <c r="O41" i="4"/>
  <c r="N41" i="4"/>
  <c r="M41" i="4"/>
  <c r="L41" i="4"/>
  <c r="K40" i="4"/>
  <c r="T40" i="4"/>
  <c r="F23" i="4"/>
  <c r="I19" i="4"/>
  <c r="F10" i="1"/>
  <c r="AP10" i="1" s="1"/>
  <c r="G19" i="4"/>
  <c r="F12" i="1"/>
  <c r="AP12" i="1" s="1"/>
  <c r="F19" i="4"/>
  <c r="F11" i="1"/>
  <c r="AP11" i="1" s="1"/>
  <c r="E19" i="4"/>
  <c r="F8" i="1"/>
  <c r="AP8" i="1" s="1"/>
  <c r="G7" i="1"/>
  <c r="B2" i="52"/>
  <c r="E13"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H10" i="40"/>
  <c r="AB10" i="40"/>
  <c r="J10" i="40"/>
  <c r="AC10"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s="1"/>
  <c r="F77" i="40" s="1"/>
  <c r="G77" i="40" s="1"/>
  <c r="H77" i="40" s="1"/>
  <c r="I77" i="40" s="1"/>
  <c r="J77" i="40" s="1"/>
  <c r="K77" i="40" s="1"/>
  <c r="L77" i="40" s="1"/>
  <c r="M77" i="40" s="1"/>
  <c r="B121" i="40"/>
  <c r="F42" i="40"/>
  <c r="AA42" i="40"/>
  <c r="B119" i="40"/>
  <c r="B117" i="40"/>
  <c r="D116" i="40"/>
  <c r="E116" i="40"/>
  <c r="F116" i="40"/>
  <c r="G116" i="40"/>
  <c r="H116" i="40"/>
  <c r="I116" i="40"/>
  <c r="J116" i="40"/>
  <c r="K116" i="40"/>
  <c r="L116" i="40"/>
  <c r="M116" i="40"/>
  <c r="D114" i="40"/>
  <c r="E114" i="40" s="1"/>
  <c r="J38" i="40"/>
  <c r="AC38" i="40" s="1"/>
  <c r="D112" i="40"/>
  <c r="E112" i="40"/>
  <c r="F112" i="40"/>
  <c r="G112" i="40"/>
  <c r="M108" i="40"/>
  <c r="L108" i="40"/>
  <c r="K108" i="40"/>
  <c r="J108" i="40"/>
  <c r="I108" i="40"/>
  <c r="H108" i="40"/>
  <c r="G108" i="40"/>
  <c r="F108" i="40"/>
  <c r="E108" i="40"/>
  <c r="D108" i="40"/>
  <c r="C108" i="40"/>
  <c r="B106" i="40"/>
  <c r="B104" i="40"/>
  <c r="F34" i="40"/>
  <c r="AA34" i="40"/>
  <c r="B102" i="40"/>
  <c r="D101" i="40"/>
  <c r="E101" i="40" s="1"/>
  <c r="F101" i="40" s="1"/>
  <c r="G101" i="40" s="1"/>
  <c r="H101" i="40" s="1"/>
  <c r="I101" i="40" s="1"/>
  <c r="J101" i="40" s="1"/>
  <c r="K101" i="40" s="1"/>
  <c r="L101" i="40" s="1"/>
  <c r="M101" i="40" s="1"/>
  <c r="D99" i="40"/>
  <c r="E99" i="40"/>
  <c r="F99" i="40"/>
  <c r="D97" i="40"/>
  <c r="E97" i="40"/>
  <c r="F97" i="40"/>
  <c r="G97" i="40"/>
  <c r="H97" i="40"/>
  <c r="I97" i="40"/>
  <c r="J97" i="40"/>
  <c r="K97" i="40"/>
  <c r="L97" i="40"/>
  <c r="M97" i="40"/>
  <c r="B96" i="40"/>
  <c r="D93" i="40"/>
  <c r="E93" i="40"/>
  <c r="D91" i="40"/>
  <c r="D89" i="40"/>
  <c r="F87" i="40"/>
  <c r="G87"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S40" i="39"/>
  <c r="F11" i="21"/>
  <c r="AC40" i="21"/>
  <c r="AB36" i="21"/>
  <c r="C23" i="39"/>
  <c r="U36" i="39"/>
  <c r="H32" i="33"/>
  <c r="AB32" i="33"/>
  <c r="H11" i="21"/>
  <c r="J11" i="21"/>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BH5" i="3"/>
  <c r="R16" i="4"/>
  <c r="K17" i="4" s="1"/>
  <c r="A22" i="51" s="1"/>
  <c r="B16" i="63" s="1"/>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s="1"/>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s="1"/>
  <c r="H32" i="40"/>
  <c r="U32" i="40" s="1"/>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W21" i="40"/>
  <c r="U10" i="40"/>
  <c r="U27" i="40"/>
  <c r="AB27" i="40"/>
  <c r="AC44" i="39"/>
  <c r="W13" i="39"/>
  <c r="S11" i="39"/>
  <c r="AA21" i="39"/>
  <c r="AC38" i="39"/>
  <c r="W29" i="39"/>
  <c r="S29" i="39"/>
  <c r="AC17" i="39"/>
  <c r="AB15" i="39"/>
  <c r="U11" i="39"/>
  <c r="U41" i="39"/>
  <c r="U31" i="39"/>
  <c r="AB31" i="39"/>
  <c r="D96" i="9"/>
  <c r="A18" i="64"/>
  <c r="B74" i="63"/>
  <c r="C53" i="10"/>
  <c r="A25" i="64" s="1"/>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s="1"/>
  <c r="C51" i="10"/>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s="1"/>
  <c r="C4" i="4"/>
  <c r="B20" i="55" s="1"/>
  <c r="B70" i="63" s="1"/>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U19" i="40"/>
  <c r="W19" i="40"/>
  <c r="W32" i="40"/>
  <c r="W38" i="40"/>
  <c r="AB13" i="40"/>
  <c r="AC13" i="40"/>
  <c r="AA37"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D18" i="9" s="1"/>
  <c r="M44" i="9" s="1"/>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s="1"/>
  <c r="BJ5" i="3"/>
  <c r="BD5" i="3"/>
  <c r="BP5" i="3"/>
  <c r="H88" i="46"/>
  <c r="H85" i="46"/>
  <c r="H87" i="46"/>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s="1"/>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s="1"/>
  <c r="C7" i="33"/>
  <c r="C58" i="33" s="1"/>
  <c r="C7" i="34"/>
  <c r="C59" i="34" s="1"/>
  <c r="C9" i="39"/>
  <c r="C69" i="39" s="1"/>
  <c r="N67" i="9"/>
  <c r="D38" i="4"/>
  <c r="C39" i="4" s="1"/>
  <c r="C7" i="35"/>
  <c r="C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28" i="64"/>
  <c r="L16" i="4"/>
  <c r="N16" i="4"/>
  <c r="O39" i="9"/>
  <c r="R6" i="54"/>
  <c r="B50" i="63"/>
  <c r="N69" i="9"/>
  <c r="R7" i="54"/>
  <c r="B52" i="63"/>
  <c r="A3" i="55"/>
  <c r="B56" i="63"/>
  <c r="B37" i="50"/>
  <c r="B2" i="63" s="1"/>
  <c r="X9" i="59"/>
  <c r="AB9" i="59"/>
  <c r="Y9" i="59"/>
  <c r="Z9" i="59" s="1"/>
  <c r="AA9" i="59"/>
  <c r="AB32"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10" i="1"/>
  <c r="C95" i="9"/>
  <c r="C92" i="9" s="1"/>
  <c r="C25" i="12"/>
  <c r="D23" i="15"/>
  <c r="K77" i="9"/>
  <c r="K79" i="9"/>
  <c r="K81" i="9"/>
  <c r="E17" i="59"/>
  <c r="B17" i="59"/>
  <c r="X16" i="59"/>
  <c r="Y16" i="59"/>
  <c r="Z16" i="59"/>
  <c r="Y3" i="59"/>
  <c r="Z3" i="59"/>
  <c r="AB17" i="59"/>
  <c r="AA17" i="59"/>
  <c r="Y17" i="59"/>
  <c r="Z17" i="59"/>
  <c r="M17"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D21" i="12"/>
  <c r="C21" i="12" s="1"/>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E16" i="59"/>
  <c r="E15" i="59"/>
  <c r="E14" i="59"/>
  <c r="E13" i="59"/>
  <c r="U17" i="59"/>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E83" i="46"/>
  <c r="B81" i="46"/>
  <c r="D26" i="46"/>
  <c r="C25" i="46"/>
  <c r="C29" i="12"/>
  <c r="BA5" i="3"/>
  <c r="E12" i="6"/>
  <c r="E58" i="40"/>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E63" i="39"/>
  <c r="E66" i="39"/>
  <c r="E61" i="40"/>
  <c r="K14" i="1"/>
  <c r="B12" i="59"/>
  <c r="S13" i="59"/>
  <c r="E12" i="59"/>
  <c r="U13" i="59"/>
  <c r="F58" i="15"/>
  <c r="M19" i="44"/>
  <c r="M32" i="46"/>
  <c r="P32" i="46"/>
  <c r="O32" i="46"/>
  <c r="N32" i="46"/>
  <c r="AE12" i="1"/>
  <c r="AE7" i="1"/>
  <c r="AE8" i="1"/>
  <c r="AE9" i="1"/>
  <c r="AE10" i="1"/>
  <c r="AE11" i="1"/>
  <c r="D45" i="59"/>
  <c r="T45" i="59"/>
  <c r="V13" i="59"/>
  <c r="F12" i="59"/>
  <c r="F11" i="59"/>
  <c r="D32" i="59"/>
  <c r="C33" i="59"/>
  <c r="D40" i="59"/>
  <c r="C41" i="59"/>
  <c r="N66" i="59"/>
  <c r="N67" i="59"/>
  <c r="D23" i="59"/>
  <c r="C22" i="59"/>
  <c r="D61" i="59"/>
  <c r="T61" i="59"/>
  <c r="F30" i="6"/>
  <c r="F31" i="6"/>
  <c r="E29" i="6"/>
  <c r="K15" i="1"/>
  <c r="D53" i="59"/>
  <c r="T53" i="59"/>
  <c r="D46" i="9"/>
  <c r="C21" i="4"/>
  <c r="O5" i="54"/>
  <c r="B45" i="63"/>
  <c r="E6" i="6"/>
  <c r="D44" i="9"/>
  <c r="AG8" i="1"/>
  <c r="AG9" i="1"/>
  <c r="AG11" i="1"/>
  <c r="AG12" i="1"/>
  <c r="AG10" i="1"/>
  <c r="AG7" i="1"/>
  <c r="AG6" i="1"/>
  <c r="D5" i="46"/>
  <c r="D16" i="12"/>
  <c r="D19" i="12" s="1"/>
  <c r="C19" i="12" s="1"/>
  <c r="L38" i="9"/>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F10" i="59"/>
  <c r="E11" i="59"/>
  <c r="B11" i="59"/>
  <c r="D13" i="11"/>
  <c r="C13" i="11"/>
  <c r="B14" i="66"/>
  <c r="B1" i="66"/>
  <c r="D22" i="59"/>
  <c r="C21" i="59"/>
  <c r="D41" i="59"/>
  <c r="T41" i="59"/>
  <c r="D33" i="59"/>
  <c r="T33" i="59"/>
  <c r="E31" i="6"/>
  <c r="K21" i="6"/>
  <c r="S8" i="1"/>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C7" i="66"/>
  <c r="C6" i="66"/>
  <c r="C8" i="66"/>
  <c r="C20" i="59"/>
  <c r="T21" i="59"/>
  <c r="D21" i="59"/>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7" i="12" s="1"/>
  <c r="O16" i="1"/>
  <c r="L16" i="1"/>
  <c r="D77" i="9"/>
  <c r="N75" i="9"/>
  <c r="C19" i="59"/>
  <c r="D20" i="59"/>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s="1"/>
  <c r="D6" i="66"/>
  <c r="D8" i="66"/>
  <c r="D7" i="66"/>
  <c r="D16" i="6"/>
  <c r="R23" i="6"/>
  <c r="R10" i="1"/>
  <c r="R20" i="6"/>
  <c r="R7" i="1"/>
  <c r="R6" i="1"/>
  <c r="C18" i="59"/>
  <c r="D19" i="59"/>
  <c r="R27" i="6"/>
  <c r="H27" i="6"/>
  <c r="T16" i="1"/>
  <c r="E7" i="59"/>
  <c r="B7" i="59"/>
  <c r="F6" i="59"/>
  <c r="I6" i="6"/>
  <c r="I5" i="6"/>
  <c r="R16" i="1"/>
  <c r="C17" i="59"/>
  <c r="D18" i="59"/>
  <c r="F5" i="59"/>
  <c r="V5" i="59"/>
  <c r="B6" i="59"/>
  <c r="E6" i="59"/>
  <c r="C16" i="59"/>
  <c r="T17" i="59"/>
  <c r="D17" i="59"/>
  <c r="E5" i="59"/>
  <c r="U5" i="59"/>
  <c r="B5" i="59"/>
  <c r="D16" i="59"/>
  <c r="C15" i="59"/>
  <c r="S5" i="59"/>
  <c r="D15" i="59"/>
  <c r="C14" i="59"/>
  <c r="D14" i="59"/>
  <c r="C13" i="59"/>
  <c r="C12" i="59"/>
  <c r="T13" i="59"/>
  <c r="D13" i="59"/>
  <c r="C11" i="59"/>
  <c r="D12" i="59"/>
  <c r="C10" i="59"/>
  <c r="D11" i="59"/>
  <c r="C9" i="59"/>
  <c r="D10" i="59"/>
  <c r="C8" i="59"/>
  <c r="T9" i="59"/>
  <c r="D9" i="59"/>
  <c r="D8" i="59"/>
  <c r="C7" i="59"/>
  <c r="C6" i="59"/>
  <c r="D7" i="59"/>
  <c r="C5" i="59"/>
  <c r="D6" i="59"/>
  <c r="D5" i="59"/>
  <c r="T5" i="59"/>
  <c r="D66" i="9"/>
  <c r="N72" i="9"/>
  <c r="M29" i="15"/>
  <c r="M24" i="15"/>
  <c r="C13" i="43"/>
  <c r="M25" i="44"/>
  <c r="E8" i="67"/>
  <c r="M27" i="15"/>
  <c r="F9" i="15"/>
  <c r="F43" i="15"/>
  <c r="B7" i="67"/>
  <c r="F16" i="15"/>
  <c r="F14" i="67"/>
  <c r="E7" i="67"/>
  <c r="M8" i="15"/>
  <c r="F28" i="44"/>
  <c r="D16" i="43"/>
  <c r="J36" i="15"/>
  <c r="E10" i="67"/>
  <c r="F37" i="44"/>
  <c r="F46" i="44"/>
  <c r="B9" i="67"/>
  <c r="M10" i="44"/>
  <c r="M26" i="44"/>
  <c r="F42" i="15"/>
  <c r="C15" i="43"/>
  <c r="F21" i="43"/>
  <c r="F45" i="44"/>
  <c r="L47" i="15"/>
  <c r="M6" i="15"/>
  <c r="F7" i="15"/>
  <c r="F22" i="43"/>
  <c r="F13" i="67"/>
  <c r="E9" i="67"/>
  <c r="M23" i="44"/>
  <c r="B10" i="67"/>
  <c r="F8" i="67"/>
  <c r="F40" i="44"/>
  <c r="F11" i="44"/>
  <c r="N3" i="65"/>
  <c r="F35" i="15"/>
  <c r="F13" i="15"/>
  <c r="F9" i="67"/>
  <c r="F15" i="44"/>
  <c r="L49" i="44"/>
  <c r="B8" i="67"/>
  <c r="C19" i="44"/>
  <c r="F8" i="15"/>
  <c r="B11" i="67"/>
  <c r="M30" i="44"/>
  <c r="B14" i="67"/>
  <c r="F6" i="15"/>
  <c r="E14" i="67"/>
  <c r="N6" i="65"/>
  <c r="C16" i="44"/>
  <c r="F40" i="15"/>
  <c r="F39" i="44"/>
  <c r="M28" i="15"/>
  <c r="F38" i="44"/>
  <c r="F10" i="44"/>
  <c r="M28" i="44"/>
  <c r="M29" i="44"/>
  <c r="B12" i="67"/>
  <c r="M24" i="44"/>
  <c r="F43" i="44"/>
  <c r="M11" i="44"/>
  <c r="M26" i="15"/>
  <c r="E11" i="67"/>
  <c r="N7" i="65"/>
  <c r="M31" i="44"/>
  <c r="J17" i="44"/>
  <c r="F26" i="15"/>
  <c r="J15" i="15"/>
  <c r="B13" i="67"/>
  <c r="F36" i="15"/>
  <c r="F10" i="67"/>
  <c r="C14" i="15"/>
  <c r="F7" i="67"/>
  <c r="M23" i="15"/>
  <c r="F8" i="44"/>
  <c r="M21" i="15"/>
  <c r="E13" i="67"/>
  <c r="N4" i="65"/>
  <c r="N5" i="65"/>
  <c r="M9" i="15"/>
  <c r="L48" i="15"/>
  <c r="M8" i="44"/>
  <c r="M22" i="15"/>
  <c r="L48" i="44"/>
  <c r="F11" i="67"/>
  <c r="F38" i="15"/>
  <c r="F9" i="44"/>
  <c r="E12" i="67"/>
  <c r="F18" i="44"/>
  <c r="F12" i="67"/>
  <c r="F37" i="15"/>
  <c r="E50" i="93" l="1"/>
  <c r="F50" i="93" s="1"/>
  <c r="R43" i="93"/>
  <c r="I50" i="93"/>
  <c r="J50" i="93" s="1"/>
  <c r="G8" i="1"/>
  <c r="C34" i="12"/>
  <c r="D33" i="12" s="1"/>
  <c r="C71" i="39"/>
  <c r="D69" i="39"/>
  <c r="D59" i="34"/>
  <c r="E59" i="34" s="1"/>
  <c r="F59" i="34" s="1"/>
  <c r="G59" i="34" s="1"/>
  <c r="H59" i="34" s="1"/>
  <c r="I59" i="34" s="1"/>
  <c r="J59" i="34" s="1"/>
  <c r="K59" i="34" s="1"/>
  <c r="L59" i="34" s="1"/>
  <c r="M59" i="34" s="1"/>
  <c r="N59" i="34" s="1"/>
  <c r="O59" i="34" s="1"/>
  <c r="J7" i="34"/>
  <c r="G23" i="46"/>
  <c r="J46" i="36"/>
  <c r="K46" i="36" s="1"/>
  <c r="L46" i="36" s="1"/>
  <c r="M46" i="36" s="1"/>
  <c r="N46" i="36" s="1"/>
  <c r="O46" i="36" s="1"/>
  <c r="J7" i="36"/>
  <c r="H7" i="36"/>
  <c r="D58" i="33"/>
  <c r="D48" i="35"/>
  <c r="D58" i="21"/>
  <c r="E52" i="37"/>
  <c r="D64" i="40"/>
  <c r="C66" i="40"/>
  <c r="F7" i="34"/>
  <c r="H7" i="34"/>
  <c r="H1" i="65"/>
  <c r="C9" i="93"/>
  <c r="C64" i="93" s="1"/>
  <c r="C9" i="88"/>
  <c r="C64" i="88" s="1"/>
  <c r="C9" i="91"/>
  <c r="C64" i="91" s="1"/>
  <c r="C9" i="85"/>
  <c r="C64" i="85" s="1"/>
  <c r="C9" i="83"/>
  <c r="C64" i="83" s="1"/>
  <c r="I24" i="46"/>
  <c r="C24" i="46" s="1"/>
  <c r="G6" i="1"/>
  <c r="AP6" i="1"/>
  <c r="A25" i="51"/>
  <c r="B18" i="63" s="1"/>
  <c r="G11" i="1"/>
  <c r="A9" i="51"/>
  <c r="B9" i="63" s="1"/>
  <c r="G12" i="1"/>
  <c r="G9" i="1"/>
  <c r="AP16" i="1"/>
  <c r="J17" i="40"/>
  <c r="AC17" i="40" s="1"/>
  <c r="H17" i="40"/>
  <c r="AA17" i="40"/>
  <c r="S17" i="40"/>
  <c r="E85" i="40"/>
  <c r="F85" i="40" s="1"/>
  <c r="G85" i="40" s="1"/>
  <c r="F114" i="40"/>
  <c r="G114" i="40" s="1"/>
  <c r="H114" i="40" s="1"/>
  <c r="I114" i="40" s="1"/>
  <c r="J114" i="40" s="1"/>
  <c r="K114" i="40" s="1"/>
  <c r="L114" i="40" s="1"/>
  <c r="M114" i="40" s="1"/>
  <c r="H38" i="40"/>
  <c r="U33" i="40"/>
  <c r="V43" i="40"/>
  <c r="E43" i="40"/>
  <c r="G43" i="40"/>
  <c r="AA36" i="40"/>
  <c r="S36" i="40"/>
  <c r="I50" i="83"/>
  <c r="J50" i="83" s="1"/>
  <c r="V43" i="83"/>
  <c r="C16" i="12"/>
  <c r="AC36" i="40"/>
  <c r="W36" i="40"/>
  <c r="AB36" i="40"/>
  <c r="U36" i="40"/>
  <c r="B7" i="52"/>
  <c r="C14" i="12"/>
  <c r="O3" i="70"/>
  <c r="C23" i="46"/>
  <c r="N3" i="70"/>
  <c r="C20" i="12"/>
  <c r="E8" i="52"/>
  <c r="J20" i="15"/>
  <c r="C16" i="43"/>
  <c r="B2" i="67"/>
  <c r="C8" i="44"/>
  <c r="C36" i="44"/>
  <c r="C20" i="44"/>
  <c r="C17" i="44"/>
  <c r="J22" i="44"/>
  <c r="E3" i="67"/>
  <c r="E4" i="67"/>
  <c r="Q73" i="44"/>
  <c r="C29" i="44"/>
  <c r="I55" i="44"/>
  <c r="L57" i="44"/>
  <c r="J58" i="44"/>
  <c r="J56" i="44" s="1"/>
  <c r="J59" i="44" s="1"/>
  <c r="Q52" i="44" s="1"/>
  <c r="J54" i="44"/>
  <c r="F48" i="15"/>
  <c r="F67" i="15"/>
  <c r="F70" i="15"/>
  <c r="C15" i="15"/>
  <c r="C18" i="15"/>
  <c r="C4" i="65"/>
  <c r="B39" i="1" s="1"/>
  <c r="F50" i="15"/>
  <c r="Q72" i="15"/>
  <c r="L59" i="15"/>
  <c r="L58" i="15"/>
  <c r="L60" i="44"/>
  <c r="L59" i="44"/>
  <c r="M9" i="44"/>
  <c r="J8" i="44" s="1"/>
  <c r="C14" i="43"/>
  <c r="C17" i="43"/>
  <c r="J53" i="15"/>
  <c r="I54" i="15"/>
  <c r="J59" i="15"/>
  <c r="J57" i="15"/>
  <c r="J55" i="15" s="1"/>
  <c r="J58" i="15" s="1"/>
  <c r="Q51" i="15" s="1"/>
  <c r="L56" i="15"/>
  <c r="J60" i="15"/>
  <c r="Q49" i="15" s="1"/>
  <c r="F65" i="15"/>
  <c r="F64" i="15"/>
  <c r="F63" i="15"/>
  <c r="C27" i="15"/>
  <c r="F62" i="15"/>
  <c r="C61" i="15" s="1"/>
  <c r="C34" i="15"/>
  <c r="F49" i="15"/>
  <c r="M7" i="15"/>
  <c r="J6" i="15" s="1"/>
  <c r="C6" i="15"/>
  <c r="B15" i="52"/>
  <c r="E12" i="52"/>
  <c r="B4" i="52"/>
  <c r="E14" i="52"/>
  <c r="E11" i="52"/>
  <c r="E7" i="52"/>
  <c r="E4" i="52"/>
  <c r="B8" i="52"/>
  <c r="B10" i="52"/>
  <c r="B5" i="52"/>
  <c r="B12" i="52"/>
  <c r="B14" i="52"/>
  <c r="E6" i="52"/>
  <c r="B9" i="52"/>
  <c r="E10" i="52"/>
  <c r="B11" i="52"/>
  <c r="E5" i="52"/>
  <c r="B6" i="52"/>
  <c r="E9" i="52"/>
  <c r="J3" i="65"/>
  <c r="I4" i="65"/>
  <c r="J5" i="65"/>
  <c r="C17" i="15"/>
  <c r="J4" i="65"/>
  <c r="J7" i="65"/>
  <c r="I3" i="65"/>
  <c r="C18" i="44"/>
  <c r="I6" i="65"/>
  <c r="C16" i="15"/>
  <c r="I5" i="65"/>
  <c r="E2" i="65" s="1"/>
  <c r="J6" i="65"/>
  <c r="I7" i="65"/>
  <c r="W7" i="34" l="1"/>
  <c r="AC7" i="34"/>
  <c r="V49" i="34" s="1"/>
  <c r="I49" i="34" s="1"/>
  <c r="I53" i="34" s="1"/>
  <c r="J53" i="34" s="1"/>
  <c r="E69" i="39"/>
  <c r="D71" i="39"/>
  <c r="P28" i="46"/>
  <c r="O23" i="46"/>
  <c r="P26" i="46"/>
  <c r="P29" i="46"/>
  <c r="B72" i="39" s="1"/>
  <c r="M24" i="46"/>
  <c r="A1" i="70"/>
  <c r="P27" i="46"/>
  <c r="P25" i="46"/>
  <c r="J1" i="65"/>
  <c r="D64" i="83"/>
  <c r="C66" i="83"/>
  <c r="D64" i="91"/>
  <c r="C66" i="91"/>
  <c r="C66" i="93"/>
  <c r="D64" i="93"/>
  <c r="AA7" i="34"/>
  <c r="R49" i="34" s="1"/>
  <c r="S7" i="34"/>
  <c r="F52" i="37"/>
  <c r="E48" i="35"/>
  <c r="E58" i="33"/>
  <c r="U7" i="36"/>
  <c r="AB7" i="36"/>
  <c r="T36" i="36" s="1"/>
  <c r="G36" i="36" s="1"/>
  <c r="F7" i="36"/>
  <c r="C33" i="46"/>
  <c r="E33" i="46" s="1"/>
  <c r="C66" i="85"/>
  <c r="D64" i="85"/>
  <c r="C66" i="88"/>
  <c r="D64" i="88"/>
  <c r="U7" i="34"/>
  <c r="AB7" i="34"/>
  <c r="T49" i="34" s="1"/>
  <c r="G49" i="34" s="1"/>
  <c r="E64" i="40"/>
  <c r="D66" i="40"/>
  <c r="E58" i="21"/>
  <c r="F58" i="21" s="1"/>
  <c r="G58" i="21" s="1"/>
  <c r="H58" i="21" s="1"/>
  <c r="I58" i="21" s="1"/>
  <c r="J58" i="21" s="1"/>
  <c r="K58" i="21" s="1"/>
  <c r="L58" i="21" s="1"/>
  <c r="M58" i="21" s="1"/>
  <c r="N58" i="21" s="1"/>
  <c r="O58" i="21" s="1"/>
  <c r="AC7" i="36"/>
  <c r="V36" i="36" s="1"/>
  <c r="I36" i="36" s="1"/>
  <c r="W7" i="36"/>
  <c r="T16" i="46"/>
  <c r="V16" i="46" s="1"/>
  <c r="G16" i="1"/>
  <c r="F12" i="85" s="1"/>
  <c r="W17" i="40"/>
  <c r="AB17" i="40"/>
  <c r="U17" i="40"/>
  <c r="AB38" i="40"/>
  <c r="U38" i="40"/>
  <c r="T43" i="40"/>
  <c r="G50" i="40"/>
  <c r="H50" i="40" s="1"/>
  <c r="R43" i="40"/>
  <c r="E50" i="40"/>
  <c r="F50" i="40" s="1"/>
  <c r="I50" i="40"/>
  <c r="J50" i="40" s="1"/>
  <c r="T43" i="83"/>
  <c r="G50" i="83"/>
  <c r="H50" i="83" s="1"/>
  <c r="E50" i="83"/>
  <c r="F50" i="83" s="1"/>
  <c r="R43" i="83"/>
  <c r="C18" i="12"/>
  <c r="C23" i="12" s="1"/>
  <c r="C35" i="12" s="1"/>
  <c r="C33" i="12" s="1"/>
  <c r="T6" i="46"/>
  <c r="V6" i="46" s="1"/>
  <c r="C41" i="46"/>
  <c r="G41" i="46" s="1"/>
  <c r="I41" i="46" s="1"/>
  <c r="C39" i="46"/>
  <c r="G39" i="46" s="1"/>
  <c r="I39" i="46" s="1"/>
  <c r="T8" i="46"/>
  <c r="V8" i="46" s="1"/>
  <c r="T11" i="46"/>
  <c r="V11" i="46" s="1"/>
  <c r="E41" i="46"/>
  <c r="C40" i="46"/>
  <c r="G40" i="46" s="1"/>
  <c r="I40" i="46" s="1"/>
  <c r="T4" i="46"/>
  <c r="V4" i="46" s="1"/>
  <c r="T2" i="46"/>
  <c r="V2" i="46" s="1"/>
  <c r="T13" i="46"/>
  <c r="V13" i="46" s="1"/>
  <c r="T7" i="46"/>
  <c r="V7" i="46" s="1"/>
  <c r="B40" i="1"/>
  <c r="F20" i="43" s="1"/>
  <c r="D20" i="43" s="1"/>
  <c r="C38" i="46"/>
  <c r="G38" i="46" s="1"/>
  <c r="I38" i="46" s="1"/>
  <c r="C37" i="46"/>
  <c r="G37" i="46" s="1"/>
  <c r="I37" i="46" s="1"/>
  <c r="C42" i="46"/>
  <c r="G42" i="46" s="1"/>
  <c r="I42" i="46" s="1"/>
  <c r="T5" i="46"/>
  <c r="V5" i="46" s="1"/>
  <c r="T10" i="46"/>
  <c r="V10" i="46" s="1"/>
  <c r="T3" i="46"/>
  <c r="V3" i="46" s="1"/>
  <c r="T9" i="46"/>
  <c r="V9" i="46" s="1"/>
  <c r="T14" i="46"/>
  <c r="V14" i="46" s="1"/>
  <c r="T12" i="46"/>
  <c r="V12" i="46" s="1"/>
  <c r="T15" i="46"/>
  <c r="V15" i="46" s="1"/>
  <c r="E38" i="46"/>
  <c r="E37" i="46"/>
  <c r="E40" i="46"/>
  <c r="L46" i="15"/>
  <c r="C18" i="43"/>
  <c r="C19" i="43" s="1"/>
  <c r="C21" i="44"/>
  <c r="C19" i="15"/>
  <c r="J19" i="15"/>
  <c r="J18" i="15"/>
  <c r="C32" i="15"/>
  <c r="C33" i="15"/>
  <c r="Q75" i="44"/>
  <c r="Q62" i="44"/>
  <c r="J20" i="44"/>
  <c r="J21" i="44"/>
  <c r="Q75" i="15"/>
  <c r="Q62" i="15"/>
  <c r="F11" i="15"/>
  <c r="C52" i="15" s="1"/>
  <c r="M11" i="15"/>
  <c r="J10" i="15" s="1"/>
  <c r="J5" i="15" s="1"/>
  <c r="F13" i="44"/>
  <c r="C12" i="44" s="1"/>
  <c r="C7" i="44" s="1"/>
  <c r="M13" i="44"/>
  <c r="J12" i="44" s="1"/>
  <c r="J7" i="44" s="1"/>
  <c r="C48" i="15"/>
  <c r="F1" i="44"/>
  <c r="Q54" i="44"/>
  <c r="C35" i="44"/>
  <c r="C34" i="44"/>
  <c r="F1" i="15"/>
  <c r="Q53" i="15"/>
  <c r="Q76" i="44"/>
  <c r="Q63" i="44"/>
  <c r="Q74" i="15"/>
  <c r="Q61" i="15"/>
  <c r="J60" i="44"/>
  <c r="J61" i="44" s="1"/>
  <c r="B4" i="67"/>
  <c r="B3" i="67"/>
  <c r="AE6" i="1"/>
  <c r="E3" i="65"/>
  <c r="C34" i="46" l="1"/>
  <c r="E34" i="46" s="1"/>
  <c r="A28" i="72"/>
  <c r="A37" i="72"/>
  <c r="A40" i="72" s="1"/>
  <c r="C37" i="72" s="1"/>
  <c r="E38" i="72" s="1"/>
  <c r="F38" i="72" s="1"/>
  <c r="E39" i="46"/>
  <c r="A2" i="72"/>
  <c r="J7" i="21"/>
  <c r="F7" i="21"/>
  <c r="B67" i="88"/>
  <c r="B67" i="85"/>
  <c r="B67" i="93"/>
  <c r="B67" i="91"/>
  <c r="B67" i="83"/>
  <c r="B67" i="40"/>
  <c r="F69" i="39"/>
  <c r="E71" i="39"/>
  <c r="F12" i="40"/>
  <c r="S12" i="40" s="1"/>
  <c r="F12" i="88"/>
  <c r="I40" i="36"/>
  <c r="J40" i="36" s="1"/>
  <c r="AA7" i="21"/>
  <c r="R48" i="21" s="1"/>
  <c r="S7" i="21"/>
  <c r="G54" i="34"/>
  <c r="H54" i="34" s="1"/>
  <c r="G53" i="34"/>
  <c r="H53" i="34" s="1"/>
  <c r="E64" i="88"/>
  <c r="D66" i="88"/>
  <c r="D66" i="85"/>
  <c r="E64" i="85"/>
  <c r="S7" i="36"/>
  <c r="AA7" i="36"/>
  <c r="R36" i="36" s="1"/>
  <c r="F48" i="35"/>
  <c r="D66" i="93"/>
  <c r="E64" i="93"/>
  <c r="H7" i="21"/>
  <c r="AC7" i="21"/>
  <c r="V48" i="21" s="1"/>
  <c r="I48" i="21" s="1"/>
  <c r="W7" i="21"/>
  <c r="F64" i="40"/>
  <c r="E66" i="40"/>
  <c r="G41" i="36"/>
  <c r="H41" i="36" s="1"/>
  <c r="G40" i="36"/>
  <c r="H40" i="36" s="1"/>
  <c r="F58" i="33"/>
  <c r="G52" i="37"/>
  <c r="E49" i="34"/>
  <c r="R50" i="34"/>
  <c r="E64" i="91"/>
  <c r="D66" i="91"/>
  <c r="E64" i="83"/>
  <c r="D66" i="83"/>
  <c r="H12" i="93"/>
  <c r="H12" i="85"/>
  <c r="S12" i="85"/>
  <c r="AA12" i="85"/>
  <c r="F12" i="39"/>
  <c r="H12" i="40"/>
  <c r="J12" i="88"/>
  <c r="H12" i="91"/>
  <c r="J12" i="39"/>
  <c r="J12" i="40"/>
  <c r="F12" i="93"/>
  <c r="J12" i="91"/>
  <c r="J12" i="85"/>
  <c r="J12" i="83"/>
  <c r="H12" i="39"/>
  <c r="J12" i="93"/>
  <c r="H12" i="88"/>
  <c r="F12" i="91"/>
  <c r="H12" i="83"/>
  <c r="F12" i="83"/>
  <c r="AA12" i="39"/>
  <c r="S12" i="39"/>
  <c r="E40" i="72"/>
  <c r="F24" i="15"/>
  <c r="C24" i="15" s="1"/>
  <c r="F26" i="12"/>
  <c r="C27" i="12" s="1"/>
  <c r="D26" i="12" s="1"/>
  <c r="C32" i="12" s="1"/>
  <c r="D30" i="12" s="1"/>
  <c r="L36" i="46"/>
  <c r="M36" i="46" s="1"/>
  <c r="F26" i="44"/>
  <c r="C26" i="44" s="1"/>
  <c r="E42" i="46"/>
  <c r="C31" i="46"/>
  <c r="J19" i="44"/>
  <c r="C10" i="15"/>
  <c r="C5" i="15" s="1"/>
  <c r="C38" i="15" s="1"/>
  <c r="J28" i="44"/>
  <c r="J31" i="44" s="1"/>
  <c r="J26" i="44"/>
  <c r="J26" i="15"/>
  <c r="J24" i="15"/>
  <c r="Q50" i="44"/>
  <c r="L47" i="44"/>
  <c r="C60" i="15"/>
  <c r="C47" i="15"/>
  <c r="C20" i="43"/>
  <c r="C20" i="15"/>
  <c r="C33" i="44"/>
  <c r="C40" i="44"/>
  <c r="C31" i="15"/>
  <c r="C21" i="43"/>
  <c r="J17" i="15"/>
  <c r="C22" i="44"/>
  <c r="F41" i="15"/>
  <c r="AA12" i="40" l="1"/>
  <c r="C30" i="46"/>
  <c r="B2" i="46" s="1"/>
  <c r="B4" i="46" s="1"/>
  <c r="G69" i="39"/>
  <c r="F71" i="39"/>
  <c r="S12" i="88"/>
  <c r="AA12" i="88"/>
  <c r="F64" i="83"/>
  <c r="E66" i="83"/>
  <c r="E66" i="91"/>
  <c r="F64" i="91"/>
  <c r="E54" i="34"/>
  <c r="F54" i="34" s="1"/>
  <c r="E53" i="34"/>
  <c r="F53" i="34" s="1"/>
  <c r="I54" i="34"/>
  <c r="J54" i="34" s="1"/>
  <c r="H52" i="37"/>
  <c r="G64" i="40"/>
  <c r="F66" i="40"/>
  <c r="I52" i="21"/>
  <c r="J52" i="21" s="1"/>
  <c r="G48" i="35"/>
  <c r="F64" i="85"/>
  <c r="E66" i="85"/>
  <c r="R49" i="21"/>
  <c r="E48" i="21"/>
  <c r="C50" i="34"/>
  <c r="B3" i="34" s="1"/>
  <c r="B2" i="34" s="1"/>
  <c r="C49" i="34"/>
  <c r="G58" i="33"/>
  <c r="H58" i="33" s="1"/>
  <c r="I58" i="33" s="1"/>
  <c r="J58" i="33" s="1"/>
  <c r="K58" i="33" s="1"/>
  <c r="L58" i="33" s="1"/>
  <c r="M58" i="33" s="1"/>
  <c r="N58" i="33" s="1"/>
  <c r="O58" i="33" s="1"/>
  <c r="H7" i="33"/>
  <c r="J7" i="33"/>
  <c r="U7" i="21"/>
  <c r="AB7" i="21"/>
  <c r="T48" i="21" s="1"/>
  <c r="G48" i="21" s="1"/>
  <c r="E66" i="93"/>
  <c r="F64" i="93"/>
  <c r="E36" i="36"/>
  <c r="R37" i="36"/>
  <c r="E66" i="88"/>
  <c r="F64" i="88"/>
  <c r="U12" i="85"/>
  <c r="AB12" i="85"/>
  <c r="AB12" i="93"/>
  <c r="U12" i="93"/>
  <c r="AA12" i="83"/>
  <c r="S12" i="83"/>
  <c r="AA12" i="91"/>
  <c r="S12" i="91"/>
  <c r="AC12" i="93"/>
  <c r="W12" i="93"/>
  <c r="W12" i="83"/>
  <c r="AC12" i="83"/>
  <c r="AC12" i="91"/>
  <c r="W12" i="91"/>
  <c r="AC12" i="40"/>
  <c r="W12" i="40"/>
  <c r="U12" i="91"/>
  <c r="AB12" i="91"/>
  <c r="AB12" i="40"/>
  <c r="U12" i="40"/>
  <c r="AB12" i="83"/>
  <c r="U12" i="83"/>
  <c r="AB12" i="88"/>
  <c r="U12" i="88"/>
  <c r="AB12" i="39"/>
  <c r="U12" i="39"/>
  <c r="AC12" i="85"/>
  <c r="W12" i="85"/>
  <c r="AA12" i="93"/>
  <c r="S12" i="93"/>
  <c r="AC12" i="39"/>
  <c r="W12" i="39"/>
  <c r="W12" i="88"/>
  <c r="AC12" i="88"/>
  <c r="D4" i="46"/>
  <c r="C23" i="15"/>
  <c r="C28" i="12"/>
  <c r="C26" i="12" s="1"/>
  <c r="C31" i="12" s="1"/>
  <c r="C30" i="12" s="1"/>
  <c r="C36" i="12" s="1"/>
  <c r="B2" i="12" s="1"/>
  <c r="P36" i="46"/>
  <c r="O36" i="46"/>
  <c r="Q36" i="46"/>
  <c r="N36" i="46"/>
  <c r="L37" i="46"/>
  <c r="M37" i="46" s="1"/>
  <c r="C25" i="44"/>
  <c r="F68" i="15"/>
  <c r="J29" i="15"/>
  <c r="B3" i="46"/>
  <c r="C28" i="44"/>
  <c r="C26" i="15"/>
  <c r="C23" i="43"/>
  <c r="C65" i="15"/>
  <c r="C59" i="15"/>
  <c r="C58" i="15" s="1"/>
  <c r="Q58" i="44"/>
  <c r="Q67" i="44"/>
  <c r="Q49" i="44"/>
  <c r="Q55" i="44" s="1"/>
  <c r="C19" i="9"/>
  <c r="C21" i="9"/>
  <c r="C20" i="9"/>
  <c r="L43" i="9" l="1"/>
  <c r="G71" i="39"/>
  <c r="H69" i="39"/>
  <c r="F66" i="88"/>
  <c r="G64" i="88"/>
  <c r="C37" i="36"/>
  <c r="B3" i="36" s="1"/>
  <c r="B2" i="36" s="1"/>
  <c r="C36" i="36"/>
  <c r="F66" i="93"/>
  <c r="G64" i="93"/>
  <c r="G52" i="21"/>
  <c r="H52" i="21" s="1"/>
  <c r="G53" i="21"/>
  <c r="H53" i="21" s="1"/>
  <c r="W7" i="33"/>
  <c r="AC7" i="33"/>
  <c r="V48" i="33" s="1"/>
  <c r="I48" i="33" s="1"/>
  <c r="C49" i="21"/>
  <c r="B3" i="21" s="1"/>
  <c r="B2" i="21" s="1"/>
  <c r="C48" i="21"/>
  <c r="F66" i="85"/>
  <c r="G64" i="85"/>
  <c r="H48" i="35"/>
  <c r="H64" i="40"/>
  <c r="G66" i="40"/>
  <c r="I52" i="37"/>
  <c r="G64" i="91"/>
  <c r="F66" i="91"/>
  <c r="F7" i="33"/>
  <c r="E40" i="36"/>
  <c r="F40" i="36" s="1"/>
  <c r="E41" i="36"/>
  <c r="F41" i="36" s="1"/>
  <c r="I41" i="36"/>
  <c r="J41" i="36" s="1"/>
  <c r="AB7" i="33"/>
  <c r="T48" i="33" s="1"/>
  <c r="G48" i="33" s="1"/>
  <c r="U7" i="33"/>
  <c r="E53" i="21"/>
  <c r="F53" i="21" s="1"/>
  <c r="E52" i="21"/>
  <c r="F52" i="21" s="1"/>
  <c r="I53" i="21"/>
  <c r="J53" i="21" s="1"/>
  <c r="F66" i="83"/>
  <c r="G64" i="83"/>
  <c r="P37" i="46"/>
  <c r="C31" i="44"/>
  <c r="J16" i="44" s="1"/>
  <c r="J24" i="44" s="1"/>
  <c r="C29" i="15"/>
  <c r="J14" i="15" s="1"/>
  <c r="J22" i="15" s="1"/>
  <c r="Q37" i="46"/>
  <c r="N37" i="46"/>
  <c r="O37" i="46"/>
  <c r="B5" i="12"/>
  <c r="B3" i="12"/>
  <c r="B4" i="12"/>
  <c r="J15" i="44" l="1"/>
  <c r="J25" i="44" s="1"/>
  <c r="J18" i="44" s="1"/>
  <c r="J27" i="44" s="1"/>
  <c r="C15" i="44"/>
  <c r="C43" i="44" s="1"/>
  <c r="C13" i="15"/>
  <c r="C37" i="15" s="1"/>
  <c r="Q51" i="44"/>
  <c r="C38" i="44"/>
  <c r="I69" i="39"/>
  <c r="H71" i="39"/>
  <c r="AA7" i="33"/>
  <c r="R48" i="33" s="1"/>
  <c r="S7" i="33"/>
  <c r="G66" i="91"/>
  <c r="H64" i="91"/>
  <c r="J52" i="37"/>
  <c r="K52" i="37" s="1"/>
  <c r="L52" i="37" s="1"/>
  <c r="M52" i="37" s="1"/>
  <c r="N52" i="37" s="1"/>
  <c r="O52" i="37" s="1"/>
  <c r="J7" i="37"/>
  <c r="F7" i="37"/>
  <c r="I64" i="40"/>
  <c r="H66" i="40"/>
  <c r="G66" i="85"/>
  <c r="H64" i="85"/>
  <c r="I52" i="33"/>
  <c r="J52" i="33" s="1"/>
  <c r="G66" i="93"/>
  <c r="H64" i="93"/>
  <c r="G66" i="88"/>
  <c r="H64" i="88"/>
  <c r="G66" i="83"/>
  <c r="H64" i="83"/>
  <c r="G52" i="33"/>
  <c r="H52" i="33" s="1"/>
  <c r="G53" i="33"/>
  <c r="H53" i="33" s="1"/>
  <c r="H7" i="37"/>
  <c r="I48" i="35"/>
  <c r="Q72" i="44"/>
  <c r="C36" i="15"/>
  <c r="Q50" i="15"/>
  <c r="C56" i="15"/>
  <c r="C63" i="15" s="1"/>
  <c r="C39" i="44"/>
  <c r="J13" i="15"/>
  <c r="J23" i="15" s="1"/>
  <c r="J16" i="15" s="1"/>
  <c r="J25" i="15" s="1"/>
  <c r="C30" i="15" l="1"/>
  <c r="C39" i="15" s="1"/>
  <c r="C40" i="15" s="1"/>
  <c r="B2" i="15" s="1"/>
  <c r="Q71" i="15"/>
  <c r="C32" i="44"/>
  <c r="C42" i="44" s="1"/>
  <c r="Q71" i="44" s="1"/>
  <c r="Q70" i="44" s="1"/>
  <c r="J35" i="15"/>
  <c r="C55" i="15"/>
  <c r="C64" i="15" s="1"/>
  <c r="C57" i="15" s="1"/>
  <c r="C66" i="15" s="1"/>
  <c r="C67" i="15" s="1"/>
  <c r="C70" i="15" s="1"/>
  <c r="J69" i="39"/>
  <c r="I71" i="39"/>
  <c r="J48" i="35"/>
  <c r="K48" i="35" s="1"/>
  <c r="L48" i="35" s="1"/>
  <c r="M48" i="35" s="1"/>
  <c r="N48" i="35" s="1"/>
  <c r="O48" i="35" s="1"/>
  <c r="H7" i="35"/>
  <c r="J7" i="35"/>
  <c r="H66" i="83"/>
  <c r="I64" i="83"/>
  <c r="H66" i="88"/>
  <c r="I64" i="88"/>
  <c r="H66" i="93"/>
  <c r="I64" i="93"/>
  <c r="H66" i="85"/>
  <c r="I64" i="85"/>
  <c r="J64" i="40"/>
  <c r="I66" i="40"/>
  <c r="AC7" i="37"/>
  <c r="V42" i="37" s="1"/>
  <c r="I42" i="37" s="1"/>
  <c r="W7" i="37"/>
  <c r="I64" i="91"/>
  <c r="H66" i="91"/>
  <c r="F7" i="35"/>
  <c r="AB7" i="37"/>
  <c r="T42" i="37" s="1"/>
  <c r="G42" i="37" s="1"/>
  <c r="U7" i="37"/>
  <c r="AA7" i="37"/>
  <c r="R42" i="37" s="1"/>
  <c r="S7" i="37"/>
  <c r="R49" i="33"/>
  <c r="E48" i="33"/>
  <c r="L51" i="15"/>
  <c r="Q70" i="15" l="1"/>
  <c r="J39" i="15"/>
  <c r="J40" i="15" s="1"/>
  <c r="J42" i="15"/>
  <c r="J43" i="15" s="1"/>
  <c r="C43" i="15"/>
  <c r="Q48" i="15"/>
  <c r="Q54" i="15" s="1"/>
  <c r="Q66" i="15"/>
  <c r="Q57" i="15"/>
  <c r="C44" i="44"/>
  <c r="C45" i="44" s="1"/>
  <c r="B2" i="44" s="1"/>
  <c r="B3" i="44" s="1"/>
  <c r="Q69" i="15"/>
  <c r="J71" i="39"/>
  <c r="K69" i="39"/>
  <c r="C49" i="33"/>
  <c r="B3" i="33" s="1"/>
  <c r="B2" i="33" s="1"/>
  <c r="C48" i="33"/>
  <c r="E42" i="37"/>
  <c r="R43" i="37"/>
  <c r="AA7" i="35"/>
  <c r="R38" i="35" s="1"/>
  <c r="S7" i="35"/>
  <c r="I66" i="91"/>
  <c r="J64" i="91"/>
  <c r="I47" i="37"/>
  <c r="J47" i="37" s="1"/>
  <c r="I46" i="37"/>
  <c r="J46" i="37" s="1"/>
  <c r="K64" i="40"/>
  <c r="J66" i="40"/>
  <c r="U7" i="35"/>
  <c r="AB7" i="35"/>
  <c r="T38" i="35" s="1"/>
  <c r="G38" i="35" s="1"/>
  <c r="E52" i="33"/>
  <c r="F52" i="33" s="1"/>
  <c r="E53" i="33"/>
  <c r="F53" i="33" s="1"/>
  <c r="I53" i="33"/>
  <c r="J53" i="33" s="1"/>
  <c r="G46" i="37"/>
  <c r="H46" i="37" s="1"/>
  <c r="G47" i="37"/>
  <c r="H47" i="37" s="1"/>
  <c r="I66" i="85"/>
  <c r="J64" i="85"/>
  <c r="I66" i="93"/>
  <c r="J64" i="93"/>
  <c r="I66" i="88"/>
  <c r="J64" i="88"/>
  <c r="I66" i="83"/>
  <c r="J64" i="83"/>
  <c r="AC7" i="35"/>
  <c r="V38" i="35" s="1"/>
  <c r="I38" i="35" s="1"/>
  <c r="W7" i="35"/>
  <c r="C46" i="15"/>
  <c r="Q68" i="15"/>
  <c r="L57" i="15"/>
  <c r="L60" i="15" s="1"/>
  <c r="Q58" i="15" s="1"/>
  <c r="Q63" i="15" s="1"/>
  <c r="C10" i="43"/>
  <c r="C6" i="43" s="1"/>
  <c r="B3" i="15"/>
  <c r="B4" i="44" l="1"/>
  <c r="B5" i="44"/>
  <c r="L52" i="44"/>
  <c r="Q69" i="44" s="1"/>
  <c r="L69" i="39"/>
  <c r="K71" i="39"/>
  <c r="G43" i="35"/>
  <c r="H43" i="35" s="1"/>
  <c r="G42" i="35"/>
  <c r="H42" i="35" s="1"/>
  <c r="K64" i="91"/>
  <c r="J66" i="91"/>
  <c r="C42" i="37"/>
  <c r="C43" i="37"/>
  <c r="B3" i="37" s="1"/>
  <c r="B2" i="37" s="1"/>
  <c r="K64" i="83"/>
  <c r="J66" i="83"/>
  <c r="J66" i="88"/>
  <c r="K64" i="88"/>
  <c r="J66" i="93"/>
  <c r="K64" i="93"/>
  <c r="K64" i="85"/>
  <c r="J66" i="85"/>
  <c r="I42" i="35"/>
  <c r="J42" i="35" s="1"/>
  <c r="L64" i="40"/>
  <c r="K66" i="40"/>
  <c r="E38" i="35"/>
  <c r="R39" i="35"/>
  <c r="E47" i="37"/>
  <c r="F47" i="37" s="1"/>
  <c r="E46" i="37"/>
  <c r="F46" i="37" s="1"/>
  <c r="L58" i="44"/>
  <c r="L61" i="44" s="1"/>
  <c r="Q68" i="44" s="1"/>
  <c r="Q77" i="44" s="1"/>
  <c r="Q67" i="15"/>
  <c r="Q76" i="15" s="1"/>
  <c r="C24" i="43"/>
  <c r="C25" i="43"/>
  <c r="L71" i="39" l="1"/>
  <c r="M69" i="39"/>
  <c r="E43" i="35"/>
  <c r="F43" i="35" s="1"/>
  <c r="E42" i="35"/>
  <c r="F42" i="35" s="1"/>
  <c r="M64" i="40"/>
  <c r="L66" i="40"/>
  <c r="L64" i="85"/>
  <c r="K66" i="85"/>
  <c r="K66" i="83"/>
  <c r="L64" i="83"/>
  <c r="K66" i="91"/>
  <c r="L64" i="91"/>
  <c r="C39" i="35"/>
  <c r="B3" i="35" s="1"/>
  <c r="B2" i="35" s="1"/>
  <c r="C38" i="35"/>
  <c r="I43" i="35"/>
  <c r="J43" i="35" s="1"/>
  <c r="K66" i="93"/>
  <c r="L64" i="93"/>
  <c r="K66" i="88"/>
  <c r="L64" i="88"/>
  <c r="Q59" i="44"/>
  <c r="Q64" i="44" s="1"/>
  <c r="C27" i="43"/>
  <c r="B2" i="43" s="1"/>
  <c r="D19" i="9"/>
  <c r="B4" i="43"/>
  <c r="N69" i="39" l="1"/>
  <c r="N71" i="39" s="1"/>
  <c r="M71" i="39"/>
  <c r="F9" i="39" s="1"/>
  <c r="H9" i="39"/>
  <c r="J9" i="39"/>
  <c r="M64" i="91"/>
  <c r="L66" i="91"/>
  <c r="L66" i="83"/>
  <c r="M64" i="83"/>
  <c r="L66" i="88"/>
  <c r="M64" i="88"/>
  <c r="L66" i="93"/>
  <c r="M64" i="93"/>
  <c r="L66" i="85"/>
  <c r="M64" i="85"/>
  <c r="N64" i="40"/>
  <c r="N66" i="40" s="1"/>
  <c r="M66" i="40"/>
  <c r="G19" i="9"/>
  <c r="C32" i="9" s="1"/>
  <c r="L44" i="9"/>
  <c r="D22" i="9"/>
  <c r="B2" i="72"/>
  <c r="A5" i="72" s="1"/>
  <c r="B5" i="43"/>
  <c r="D21" i="9"/>
  <c r="B3" i="43"/>
  <c r="AA9" i="39" l="1"/>
  <c r="R49" i="39" s="1"/>
  <c r="S9" i="39"/>
  <c r="AB9" i="39"/>
  <c r="T49" i="39" s="1"/>
  <c r="G49" i="39" s="1"/>
  <c r="U9" i="39"/>
  <c r="AC9" i="39"/>
  <c r="V49" i="39" s="1"/>
  <c r="I49" i="39" s="1"/>
  <c r="W9" i="39"/>
  <c r="M66" i="85"/>
  <c r="N64" i="85"/>
  <c r="N66" i="85" s="1"/>
  <c r="H9" i="85" s="1"/>
  <c r="H9" i="40"/>
  <c r="F9" i="40"/>
  <c r="J9" i="40"/>
  <c r="J9" i="85"/>
  <c r="M66" i="93"/>
  <c r="N64" i="93"/>
  <c r="M66" i="88"/>
  <c r="N64" i="88"/>
  <c r="N64" i="83"/>
  <c r="M66" i="83"/>
  <c r="F9" i="85"/>
  <c r="M66" i="91"/>
  <c r="N64" i="91"/>
  <c r="N66" i="91" s="1"/>
  <c r="G21" i="9"/>
  <c r="N43" i="9"/>
  <c r="G22" i="9"/>
  <c r="C2" i="72"/>
  <c r="A6" i="72"/>
  <c r="C42" i="9"/>
  <c r="C33" i="9"/>
  <c r="C35" i="9"/>
  <c r="F42" i="9" s="1"/>
  <c r="C34" i="9"/>
  <c r="O43" i="9"/>
  <c r="O38" i="9"/>
  <c r="D20" i="9"/>
  <c r="G20" i="9" l="1"/>
  <c r="I53" i="39"/>
  <c r="J53" i="39" s="1"/>
  <c r="G53" i="39"/>
  <c r="H53" i="39" s="1"/>
  <c r="G54" i="39"/>
  <c r="H54" i="39" s="1"/>
  <c r="E49" i="39"/>
  <c r="I54" i="39" s="1"/>
  <c r="J54" i="39" s="1"/>
  <c r="R50" i="39"/>
  <c r="AA9" i="85"/>
  <c r="R44" i="85" s="1"/>
  <c r="S9" i="85"/>
  <c r="N66" i="83"/>
  <c r="O64" i="83"/>
  <c r="W9" i="40"/>
  <c r="AC9" i="40"/>
  <c r="V44" i="40" s="1"/>
  <c r="I44" i="40" s="1"/>
  <c r="AB9" i="40"/>
  <c r="T44" i="40" s="1"/>
  <c r="G44" i="40" s="1"/>
  <c r="U9" i="40"/>
  <c r="H9" i="91"/>
  <c r="F9" i="91"/>
  <c r="J9" i="91"/>
  <c r="N66" i="88"/>
  <c r="O64" i="88"/>
  <c r="N66" i="93"/>
  <c r="O64" i="93"/>
  <c r="W9" i="85"/>
  <c r="AC9" i="85"/>
  <c r="V44" i="85" s="1"/>
  <c r="I44" i="85" s="1"/>
  <c r="AA9" i="40"/>
  <c r="R44" i="40" s="1"/>
  <c r="S9" i="40"/>
  <c r="AB9" i="85"/>
  <c r="T44" i="85" s="1"/>
  <c r="G44" i="85" s="1"/>
  <c r="U9" i="85"/>
  <c r="K26" i="9"/>
  <c r="K25" i="9"/>
  <c r="M38" i="9"/>
  <c r="K27" i="9" s="1"/>
  <c r="E42" i="9"/>
  <c r="P5" i="54" s="1"/>
  <c r="B46" i="63" s="1"/>
  <c r="D42" i="9"/>
  <c r="Q5" i="54" s="1"/>
  <c r="B47" i="63" s="1"/>
  <c r="N38" i="9"/>
  <c r="K28" i="9" s="1"/>
  <c r="D63" i="9"/>
  <c r="R5" i="54"/>
  <c r="B48" i="63" s="1"/>
  <c r="N68" i="9"/>
  <c r="D2" i="72"/>
  <c r="C50" i="39" l="1"/>
  <c r="C49" i="39"/>
  <c r="E54" i="39"/>
  <c r="F54" i="39" s="1"/>
  <c r="E53" i="39"/>
  <c r="F53" i="39" s="1"/>
  <c r="G48" i="85"/>
  <c r="H48" i="85" s="1"/>
  <c r="G49" i="85"/>
  <c r="H49" i="85" s="1"/>
  <c r="E44" i="40"/>
  <c r="R45" i="40"/>
  <c r="W9" i="91"/>
  <c r="AC9" i="91"/>
  <c r="V44" i="91" s="1"/>
  <c r="I44" i="91" s="1"/>
  <c r="AB9" i="91"/>
  <c r="T44" i="91" s="1"/>
  <c r="G44" i="91" s="1"/>
  <c r="U9" i="91"/>
  <c r="G49" i="40"/>
  <c r="H49" i="40" s="1"/>
  <c r="G48" i="40"/>
  <c r="H48" i="40" s="1"/>
  <c r="I48" i="85"/>
  <c r="J48" i="85" s="1"/>
  <c r="O66" i="93"/>
  <c r="P64" i="93"/>
  <c r="O66" i="88"/>
  <c r="P64" i="88"/>
  <c r="S9" i="91"/>
  <c r="AA9" i="91"/>
  <c r="R44" i="91" s="1"/>
  <c r="I48" i="40"/>
  <c r="J48" i="40" s="1"/>
  <c r="I49" i="40"/>
  <c r="J49" i="40" s="1"/>
  <c r="P64" i="83"/>
  <c r="O66" i="83"/>
  <c r="R45" i="85"/>
  <c r="E44" i="85"/>
  <c r="C111" i="9"/>
  <c r="C104" i="9" s="1"/>
  <c r="D70" i="9"/>
  <c r="C82" i="9"/>
  <c r="C81" i="9" s="1"/>
  <c r="C85" i="9" s="1"/>
  <c r="C86" i="9" s="1"/>
  <c r="D72" i="9" s="1"/>
  <c r="C96" i="9"/>
  <c r="C91" i="9" s="1"/>
  <c r="C90" i="9"/>
  <c r="D73" i="9"/>
  <c r="N73" i="9" s="1"/>
  <c r="D71" i="9"/>
  <c r="C103" i="9"/>
  <c r="B59" i="39" l="1"/>
  <c r="F59" i="39" s="1"/>
  <c r="B58" i="39"/>
  <c r="F58" i="39" s="1"/>
  <c r="F67" i="39"/>
  <c r="B2" i="39" s="1"/>
  <c r="B62" i="39"/>
  <c r="F62" i="39" s="1"/>
  <c r="B64" i="39"/>
  <c r="F64" i="39" s="1"/>
  <c r="B65" i="39"/>
  <c r="F65" i="39" s="1"/>
  <c r="B63" i="39"/>
  <c r="F63" i="39" s="1"/>
  <c r="B61" i="39"/>
  <c r="F61" i="39" s="1"/>
  <c r="B66" i="39"/>
  <c r="F66" i="39" s="1"/>
  <c r="B60" i="39"/>
  <c r="F60" i="39" s="1"/>
  <c r="E49" i="85"/>
  <c r="F49" i="85" s="1"/>
  <c r="E48" i="85"/>
  <c r="F48" i="85" s="1"/>
  <c r="R45" i="91"/>
  <c r="E44" i="91"/>
  <c r="P66" i="88"/>
  <c r="Q64" i="88"/>
  <c r="P66" i="93"/>
  <c r="Q64" i="93"/>
  <c r="I49" i="85"/>
  <c r="J49" i="85" s="1"/>
  <c r="I48" i="91"/>
  <c r="J48" i="91" s="1"/>
  <c r="C45" i="40"/>
  <c r="C44" i="40"/>
  <c r="C44" i="85"/>
  <c r="E8" i="11" s="1"/>
  <c r="C8" i="11" s="1"/>
  <c r="C7" i="11" s="1"/>
  <c r="C45" i="85"/>
  <c r="P66" i="83"/>
  <c r="Q64" i="83"/>
  <c r="G49" i="91"/>
  <c r="H49" i="91" s="1"/>
  <c r="G48" i="91"/>
  <c r="H48" i="91" s="1"/>
  <c r="E48" i="40"/>
  <c r="F48" i="40" s="1"/>
  <c r="E49" i="40"/>
  <c r="F49" i="40" s="1"/>
  <c r="C113" i="9"/>
  <c r="C114" i="9" s="1"/>
  <c r="C97" i="9"/>
  <c r="B3" i="39" l="1"/>
  <c r="B4" i="39"/>
  <c r="B5" i="39"/>
  <c r="C17" i="11"/>
  <c r="C18" i="11"/>
  <c r="B53" i="40"/>
  <c r="F53" i="40" s="1"/>
  <c r="B57" i="40"/>
  <c r="F57" i="40" s="1"/>
  <c r="B61" i="40"/>
  <c r="F61" i="40" s="1"/>
  <c r="B58" i="40"/>
  <c r="F58" i="40" s="1"/>
  <c r="B60" i="40"/>
  <c r="F60" i="40" s="1"/>
  <c r="B54" i="40"/>
  <c r="F54" i="40" s="1"/>
  <c r="B56" i="40"/>
  <c r="F56" i="40" s="1"/>
  <c r="F62" i="40"/>
  <c r="B2" i="40" s="1"/>
  <c r="B59" i="40"/>
  <c r="F59" i="40" s="1"/>
  <c r="B55" i="40"/>
  <c r="F55" i="40" s="1"/>
  <c r="Q66" i="93"/>
  <c r="R64" i="93"/>
  <c r="Q66" i="88"/>
  <c r="R64" i="88"/>
  <c r="E49" i="91"/>
  <c r="F49" i="91" s="1"/>
  <c r="E48" i="91"/>
  <c r="F48" i="91" s="1"/>
  <c r="R64" i="83"/>
  <c r="Q66" i="83"/>
  <c r="B56" i="85"/>
  <c r="F56" i="85" s="1"/>
  <c r="B60" i="85"/>
  <c r="F60" i="85" s="1"/>
  <c r="B61" i="85"/>
  <c r="F61" i="85" s="1"/>
  <c r="B57" i="85"/>
  <c r="F57" i="85" s="1"/>
  <c r="B53" i="85"/>
  <c r="F53" i="85" s="1"/>
  <c r="F62" i="85"/>
  <c r="B2" i="85" s="1"/>
  <c r="B54" i="85"/>
  <c r="F54" i="85" s="1"/>
  <c r="B58" i="85"/>
  <c r="F58" i="85" s="1"/>
  <c r="B59" i="85"/>
  <c r="F59" i="85" s="1"/>
  <c r="B55" i="85"/>
  <c r="F55" i="85" s="1"/>
  <c r="I49" i="91"/>
  <c r="J49" i="91" s="1"/>
  <c r="C44" i="91"/>
  <c r="C45" i="91"/>
  <c r="E114" i="9"/>
  <c r="E115" i="9" s="1"/>
  <c r="C115" i="9"/>
  <c r="D76" i="9" s="1"/>
  <c r="D74" i="9" s="1"/>
  <c r="N74" i="9" s="1"/>
  <c r="O77" i="9" s="1"/>
  <c r="O78" i="9" s="1"/>
  <c r="C98" i="9"/>
  <c r="E98" i="9" s="1"/>
  <c r="E99" i="9" s="1"/>
  <c r="C19" i="11" l="1"/>
  <c r="C20" i="11" s="1"/>
  <c r="C21" i="11" s="1"/>
  <c r="C22" i="11" s="1"/>
  <c r="C23" i="11" s="1"/>
  <c r="B2" i="11" s="1"/>
  <c r="B5" i="85"/>
  <c r="B4" i="85"/>
  <c r="B3" i="85"/>
  <c r="S64" i="88"/>
  <c r="R66" i="88"/>
  <c r="R66" i="93"/>
  <c r="S64" i="93"/>
  <c r="B3" i="40"/>
  <c r="B5" i="40"/>
  <c r="B4" i="40"/>
  <c r="B59" i="91"/>
  <c r="F59" i="91" s="1"/>
  <c r="B60" i="91"/>
  <c r="F60" i="91" s="1"/>
  <c r="B54" i="91"/>
  <c r="F54" i="91" s="1"/>
  <c r="B57" i="91"/>
  <c r="F57" i="91" s="1"/>
  <c r="B58" i="91"/>
  <c r="F58" i="91" s="1"/>
  <c r="E8" i="90"/>
  <c r="C8" i="90" s="1"/>
  <c r="C7" i="90" s="1"/>
  <c r="B53" i="91"/>
  <c r="F53" i="91" s="1"/>
  <c r="B55" i="91"/>
  <c r="F55" i="91" s="1"/>
  <c r="B61" i="91"/>
  <c r="F61" i="91" s="1"/>
  <c r="F62" i="91"/>
  <c r="B2" i="91" s="1"/>
  <c r="B56" i="91"/>
  <c r="F56" i="91" s="1"/>
  <c r="S64" i="83"/>
  <c r="R66" i="83"/>
  <c r="B4" i="11"/>
  <c r="B5" i="11"/>
  <c r="B3" i="11"/>
  <c r="O79" i="9"/>
  <c r="O80" i="9" s="1"/>
  <c r="Q77" i="9"/>
  <c r="C99" i="9"/>
  <c r="T64" i="93" l="1"/>
  <c r="S66" i="93"/>
  <c r="C30" i="72"/>
  <c r="C4" i="72"/>
  <c r="F3" i="72" s="1"/>
  <c r="T64" i="83"/>
  <c r="S66" i="83"/>
  <c r="B4" i="91"/>
  <c r="B5" i="91"/>
  <c r="B3" i="91"/>
  <c r="C17" i="90"/>
  <c r="C18" i="90"/>
  <c r="S66" i="88"/>
  <c r="T64" i="88"/>
  <c r="O81" i="9"/>
  <c r="C19" i="90" l="1"/>
  <c r="C20" i="90" s="1"/>
  <c r="C21" i="90" s="1"/>
  <c r="C22" i="90" s="1"/>
  <c r="C23" i="90" s="1"/>
  <c r="B2" i="90" s="1"/>
  <c r="B4" i="90" s="1"/>
  <c r="U64" i="83"/>
  <c r="U66" i="83" s="1"/>
  <c r="T66" i="83"/>
  <c r="U64" i="88"/>
  <c r="U66" i="88" s="1"/>
  <c r="T66" i="88"/>
  <c r="E5" i="72"/>
  <c r="G3" i="72"/>
  <c r="T66" i="93"/>
  <c r="U64" i="93"/>
  <c r="U66" i="93" s="1"/>
  <c r="B3" i="90" l="1"/>
  <c r="B5" i="90"/>
  <c r="H9" i="88"/>
  <c r="J9" i="88"/>
  <c r="F9" i="88"/>
  <c r="F9" i="83"/>
  <c r="J9" i="83"/>
  <c r="H9" i="83"/>
  <c r="F9" i="93"/>
  <c r="J9" i="93"/>
  <c r="H9" i="93"/>
  <c r="C51" i="72" l="1"/>
  <c r="C46" i="72"/>
  <c r="U9" i="93"/>
  <c r="AB9" i="93"/>
  <c r="T44" i="93" s="1"/>
  <c r="G44" i="93" s="1"/>
  <c r="AA9" i="93"/>
  <c r="R44" i="93" s="1"/>
  <c r="S9" i="93"/>
  <c r="AB9" i="83"/>
  <c r="T44" i="83" s="1"/>
  <c r="G44" i="83" s="1"/>
  <c r="U9" i="83"/>
  <c r="S9" i="83"/>
  <c r="AA9" i="83"/>
  <c r="R44" i="83" s="1"/>
  <c r="W9" i="88"/>
  <c r="AC9" i="88"/>
  <c r="V44" i="88" s="1"/>
  <c r="I44" i="88" s="1"/>
  <c r="I48" i="88" s="1"/>
  <c r="J48" i="88" s="1"/>
  <c r="AC9" i="93"/>
  <c r="V44" i="93" s="1"/>
  <c r="I44" i="93" s="1"/>
  <c r="W9" i="93"/>
  <c r="W9" i="83"/>
  <c r="AC9" i="83"/>
  <c r="V44" i="83" s="1"/>
  <c r="I44" i="83" s="1"/>
  <c r="I48" i="83" s="1"/>
  <c r="J48" i="83" s="1"/>
  <c r="S9" i="88"/>
  <c r="AA9" i="88"/>
  <c r="R44" i="88" s="1"/>
  <c r="AB9" i="88"/>
  <c r="T44" i="88" s="1"/>
  <c r="G44" i="88" s="1"/>
  <c r="U9" i="88"/>
  <c r="E44" i="88" l="1"/>
  <c r="R45" i="88"/>
  <c r="E44" i="83"/>
  <c r="R45" i="83"/>
  <c r="G49" i="93"/>
  <c r="H49" i="93" s="1"/>
  <c r="G48" i="93"/>
  <c r="H48" i="93" s="1"/>
  <c r="G49" i="88"/>
  <c r="H49" i="88" s="1"/>
  <c r="G48" i="88"/>
  <c r="H48" i="88" s="1"/>
  <c r="I48" i="93"/>
  <c r="J48" i="93" s="1"/>
  <c r="G48" i="83"/>
  <c r="H48" i="83" s="1"/>
  <c r="G49" i="83"/>
  <c r="H49" i="83" s="1"/>
  <c r="E44" i="93"/>
  <c r="I49" i="93" s="1"/>
  <c r="J49" i="93" s="1"/>
  <c r="R45" i="93"/>
  <c r="C45" i="83" l="1"/>
  <c r="C44" i="83"/>
  <c r="C44" i="88"/>
  <c r="C45" i="88"/>
  <c r="C44" i="93"/>
  <c r="C45" i="93"/>
  <c r="B28" i="72" s="1"/>
  <c r="E49" i="93"/>
  <c r="F49" i="93" s="1"/>
  <c r="E48" i="93"/>
  <c r="F48" i="93" s="1"/>
  <c r="I49" i="83"/>
  <c r="J49" i="83" s="1"/>
  <c r="E49" i="83"/>
  <c r="F49" i="83" s="1"/>
  <c r="E48" i="83"/>
  <c r="F48" i="83" s="1"/>
  <c r="I49" i="88"/>
  <c r="J49" i="88" s="1"/>
  <c r="E48" i="88"/>
  <c r="F48" i="88" s="1"/>
  <c r="E49" i="88"/>
  <c r="F49" i="88" s="1"/>
  <c r="B49" i="72" l="1"/>
  <c r="E50" i="72" s="1"/>
  <c r="E52" i="72" s="1"/>
  <c r="C45" i="72"/>
  <c r="A31" i="72"/>
  <c r="B56" i="93"/>
  <c r="F56" i="93" s="1"/>
  <c r="B58" i="93"/>
  <c r="F58" i="93" s="1"/>
  <c r="B61" i="93"/>
  <c r="F61" i="93" s="1"/>
  <c r="B53" i="93"/>
  <c r="F53" i="93" s="1"/>
  <c r="B55" i="93"/>
  <c r="F55" i="93" s="1"/>
  <c r="F62" i="93"/>
  <c r="B2" i="93" s="1"/>
  <c r="B60" i="93"/>
  <c r="F60" i="93" s="1"/>
  <c r="B54" i="93"/>
  <c r="F54" i="93" s="1"/>
  <c r="B57" i="93"/>
  <c r="F57" i="93" s="1"/>
  <c r="B59" i="93"/>
  <c r="F59" i="93" s="1"/>
  <c r="B56" i="88"/>
  <c r="F56" i="88" s="1"/>
  <c r="B61" i="88"/>
  <c r="F61" i="88" s="1"/>
  <c r="B59" i="88"/>
  <c r="F59" i="88" s="1"/>
  <c r="B57" i="88"/>
  <c r="F57" i="88" s="1"/>
  <c r="B55" i="88"/>
  <c r="F55" i="88" s="1"/>
  <c r="F62" i="88"/>
  <c r="B2" i="88" s="1"/>
  <c r="B54" i="88"/>
  <c r="F54" i="88" s="1"/>
  <c r="B60" i="88"/>
  <c r="F60" i="88" s="1"/>
  <c r="B58" i="88"/>
  <c r="F58" i="88" s="1"/>
  <c r="B53" i="88"/>
  <c r="F53" i="88" s="1"/>
  <c r="D45" i="72"/>
  <c r="E45" i="72" s="1"/>
  <c r="D9" i="72" s="1"/>
  <c r="F62" i="83"/>
  <c r="B2" i="83" s="1"/>
  <c r="B54" i="83"/>
  <c r="F54" i="83" s="1"/>
  <c r="B60" i="83"/>
  <c r="F60" i="83" s="1"/>
  <c r="B58" i="83"/>
  <c r="F58" i="83" s="1"/>
  <c r="B53" i="83"/>
  <c r="F53" i="83" s="1"/>
  <c r="B56" i="83"/>
  <c r="F56" i="83" s="1"/>
  <c r="B61" i="83"/>
  <c r="F61" i="83" s="1"/>
  <c r="B59" i="83"/>
  <c r="F59" i="83" s="1"/>
  <c r="B57" i="83"/>
  <c r="F57" i="83" s="1"/>
  <c r="B55" i="83"/>
  <c r="F55" i="83" s="1"/>
  <c r="C28" i="72" l="1"/>
  <c r="E29" i="72" s="1"/>
  <c r="B3" i="83"/>
  <c r="B5" i="83"/>
  <c r="B4" i="83"/>
  <c r="B3" i="88"/>
  <c r="B5" i="88"/>
  <c r="B4" i="88"/>
  <c r="B5" i="93"/>
  <c r="B4" i="93"/>
  <c r="B3" i="93"/>
  <c r="F29" i="72" l="1"/>
  <c r="E31" i="72"/>
  <c r="D16" i="72" s="1"/>
  <c r="M21" i="91" l="1"/>
  <c r="D14" i="66"/>
  <c r="D17" i="72"/>
  <c r="D18" i="72" s="1"/>
  <c r="E14" i="66" l="1"/>
  <c r="F14"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66245B9F-60FE-408E-B9BB-F3A627A09E39}">
      <text>
        <r>
          <rPr>
            <b/>
            <sz val="9"/>
            <color indexed="81"/>
            <rFont val="宋体"/>
            <family val="3"/>
            <charset val="134"/>
          </rPr>
          <t>权重验证</t>
        </r>
        <r>
          <rPr>
            <sz val="9"/>
            <color indexed="81"/>
            <rFont val="宋体"/>
            <family val="3"/>
            <charset val="134"/>
          </rPr>
          <t xml:space="preserve">
</t>
        </r>
      </text>
    </comment>
    <comment ref="C66" authorId="1" shapeId="0" xr:uid="{B4A3A3F5-1CCE-4CAE-84DC-F3C5EE5D6767}">
      <text>
        <r>
          <rPr>
            <b/>
            <sz val="12"/>
            <color indexed="81"/>
            <rFont val="宋体"/>
            <family val="3"/>
            <charset val="134"/>
          </rPr>
          <t>价值时点所在季度</t>
        </r>
        <r>
          <rPr>
            <sz val="12"/>
            <color indexed="81"/>
            <rFont val="宋体"/>
            <family val="3"/>
            <charset val="134"/>
          </rPr>
          <t xml:space="preserve">
</t>
        </r>
      </text>
    </comment>
    <comment ref="B67" authorId="0" shapeId="0" xr:uid="{1A638296-50A9-448E-87A0-9E257943B389}">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E6C56B13-3125-44DE-A423-FDF4CD2C4377}">
      <text>
        <r>
          <rPr>
            <b/>
            <sz val="9"/>
            <color indexed="81"/>
            <rFont val="宋体"/>
            <family val="3"/>
            <charset val="134"/>
          </rPr>
          <t>权重验证</t>
        </r>
        <r>
          <rPr>
            <sz val="9"/>
            <color indexed="81"/>
            <rFont val="宋体"/>
            <family val="3"/>
            <charset val="134"/>
          </rPr>
          <t xml:space="preserve">
</t>
        </r>
      </text>
    </comment>
    <comment ref="C66" authorId="1" shapeId="0" xr:uid="{98CC305C-B195-497D-89FD-CABC99A07D8B}">
      <text>
        <r>
          <rPr>
            <b/>
            <sz val="12"/>
            <color indexed="81"/>
            <rFont val="宋体"/>
            <family val="3"/>
            <charset val="134"/>
          </rPr>
          <t>价值时点所在季度</t>
        </r>
        <r>
          <rPr>
            <sz val="12"/>
            <color indexed="81"/>
            <rFont val="宋体"/>
            <family val="3"/>
            <charset val="134"/>
          </rPr>
          <t xml:space="preserve">
</t>
        </r>
      </text>
    </comment>
    <comment ref="B67" authorId="0" shapeId="0" xr:uid="{A421AE58-B039-421E-88B6-BAC0D7A18FB4}">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C0C82B1D-F60B-475E-92F5-878C2A90F5DA}">
      <text>
        <r>
          <rPr>
            <b/>
            <sz val="9"/>
            <color indexed="81"/>
            <rFont val="宋体"/>
            <family val="3"/>
            <charset val="134"/>
          </rPr>
          <t>权重验证</t>
        </r>
        <r>
          <rPr>
            <sz val="9"/>
            <color indexed="81"/>
            <rFont val="宋体"/>
            <family val="3"/>
            <charset val="134"/>
          </rPr>
          <t xml:space="preserve">
</t>
        </r>
      </text>
    </comment>
    <comment ref="C66" authorId="1" shapeId="0" xr:uid="{4B2C3A0F-C853-4CBF-8C0C-B4DDE46DAE35}">
      <text>
        <r>
          <rPr>
            <b/>
            <sz val="12"/>
            <color indexed="81"/>
            <rFont val="宋体"/>
            <family val="3"/>
            <charset val="134"/>
          </rPr>
          <t>价值时点所在季度</t>
        </r>
        <r>
          <rPr>
            <sz val="12"/>
            <color indexed="81"/>
            <rFont val="宋体"/>
            <family val="3"/>
            <charset val="134"/>
          </rPr>
          <t xml:space="preserve">
</t>
        </r>
      </text>
    </comment>
    <comment ref="B67" authorId="0" shapeId="0" xr:uid="{ACF4E458-FF1E-4F2F-872B-15C26FC24BA9}">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5A193F3-7379-4228-8758-E7109AF0E2AC}">
      <text>
        <r>
          <rPr>
            <b/>
            <sz val="9"/>
            <color indexed="81"/>
            <rFont val="宋体"/>
            <family val="3"/>
            <charset val="134"/>
          </rPr>
          <t>权重验证</t>
        </r>
        <r>
          <rPr>
            <sz val="9"/>
            <color indexed="81"/>
            <rFont val="宋体"/>
            <family val="3"/>
            <charset val="134"/>
          </rPr>
          <t xml:space="preserve">
</t>
        </r>
      </text>
    </comment>
    <comment ref="C66" authorId="1" shapeId="0" xr:uid="{4E4F309B-C837-48A0-9173-82C7896CEC5C}">
      <text>
        <r>
          <rPr>
            <b/>
            <sz val="12"/>
            <color indexed="81"/>
            <rFont val="宋体"/>
            <family val="3"/>
            <charset val="134"/>
          </rPr>
          <t>价值时点所在季度</t>
        </r>
        <r>
          <rPr>
            <sz val="12"/>
            <color indexed="81"/>
            <rFont val="宋体"/>
            <family val="3"/>
            <charset val="134"/>
          </rPr>
          <t xml:space="preserve">
</t>
        </r>
      </text>
    </comment>
    <comment ref="B67" authorId="0" shapeId="0" xr:uid="{1D69F8B3-E6A3-42EB-97A4-4C774A299883}">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9E8BF121-8869-445D-9918-9BF8DA68A86A}">
      <text>
        <r>
          <rPr>
            <b/>
            <sz val="9"/>
            <color indexed="81"/>
            <rFont val="宋体"/>
            <family val="3"/>
            <charset val="134"/>
          </rPr>
          <t>权重验证</t>
        </r>
        <r>
          <rPr>
            <sz val="9"/>
            <color indexed="81"/>
            <rFont val="宋体"/>
            <family val="3"/>
            <charset val="134"/>
          </rPr>
          <t xml:space="preserve">
</t>
        </r>
      </text>
    </comment>
    <comment ref="C66" authorId="1" shapeId="0" xr:uid="{DFFF5ABA-BBD4-42FD-B5D6-AADF354675DF}">
      <text>
        <r>
          <rPr>
            <b/>
            <sz val="12"/>
            <color indexed="81"/>
            <rFont val="宋体"/>
            <family val="3"/>
            <charset val="134"/>
          </rPr>
          <t>价值时点所在季度</t>
        </r>
        <r>
          <rPr>
            <sz val="12"/>
            <color indexed="81"/>
            <rFont val="宋体"/>
            <family val="3"/>
            <charset val="134"/>
          </rPr>
          <t xml:space="preserve">
</t>
        </r>
      </text>
    </comment>
    <comment ref="B67" authorId="0" shapeId="0" xr:uid="{6862442D-E327-4B92-A2EC-EDD3843F5E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<sst xmlns="http://schemas.openxmlformats.org/spreadsheetml/2006/main" count="10155" uniqueCount="3894">
  <si>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</si>
  <si>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</si>
  <si>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</si>
  <si>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</si>
  <si>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</si>
  <si>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</si>
  <si>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</si>
  <si>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</si>
  <si>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</si>
  <si>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</si>
  <si>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</si>
  <si>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</si>
  <si>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</si>
  <si>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</si>
  <si>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</si>
  <si>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</si>
  <si>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</si>
  <si>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</si>
  <si>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</si>
  <si>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</si>
  <si>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</si>
  <si>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</si>
  <si>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</si>
  <si>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</si>
  <si>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</si>
  <si>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</si>
  <si>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</si>
  <si>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</si>
  <si>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</si>
  <si>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</si>
  <si>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</si>
  <si>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</si>
  <si>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</si>
  <si>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</si>
  <si>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</si>
  <si>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</si>
  <si>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</si>
  <si>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</si>
  <si>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</si>
  <si>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</si>
  <si>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</si>
  <si>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</si>
  <si>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</si>
  <si>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</si>
  <si>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</si>
  <si>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</si>
  <si>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</si>
  <si>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</si>
  <si>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</si>
  <si>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</si>
  <si>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</si>
  <si>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</si>
  <si>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</si>
  <si>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</si>
  <si>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</si>
  <si>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</si>
  <si>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</si>
  <si>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</si>
  <si>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</si>
  <si>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</si>
  <si>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</si>
  <si>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</si>
  <si>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</si>
  <si>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</si>
  <si>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</si>
  <si>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</si>
  <si>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</si>
  <si>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</si>
  <si>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</si>
  <si>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</si>
  <si>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</si>
  <si>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</si>
  <si>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</si>
  <si>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</si>
  <si>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</si>
  <si>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</si>
  <si>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</si>
  <si>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</si>
  <si>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</si>
  <si>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</si>
  <si>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</si>
  <si>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</si>
  <si>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</si>
  <si>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</si>
  <si>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</si>
  <si>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</si>
  <si>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</si>
  <si>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</si>
  <si>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</si>
  <si>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</si>
  <si>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</si>
  <si>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</si>
  <si>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</si>
  <si>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</si>
  <si>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</si>
  <si>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</si>
  <si>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</si>
  <si>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</si>
  <si>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</si>
  <si>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</si>
  <si>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</si>
  <si>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</si>
  <si>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</si>
  <si>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</si>
  <si>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</si>
  <si>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</si>
  <si>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</si>
  <si>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</si>
  <si>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</si>
  <si>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</si>
  <si>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</si>
  <si>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</si>
  <si>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</si>
  <si>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</si>
  <si>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</si>
  <si>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</si>
  <si>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</si>
  <si>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</si>
  <si>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</si>
  <si>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</si>
  <si>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</si>
  <si>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</si>
  <si>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</si>
  <si>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</si>
  <si>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</si>
  <si>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</si>
  <si>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</si>
  <si>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</si>
  <si>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</si>
  <si>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</si>
  <si>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</si>
  <si>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</si>
  <si>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</si>
  <si>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</si>
  <si>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</si>
  <si>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</si>
  <si>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</si>
  <si>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</si>
  <si>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</si>
  <si>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</si>
  <si>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</si>
  <si>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</si>
  <si>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</si>
  <si>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</si>
  <si>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</si>
  <si>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</si>
  <si>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</si>
  <si>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</si>
  <si>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</si>
  <si>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</si>
  <si>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</si>
  <si>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</si>
  <si>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</si>
  <si>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</si>
  <si>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</si>
  <si>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</si>
  <si>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</si>
  <si>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</si>
  <si>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</si>
  <si>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</si>
  <si>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</si>
  <si>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</si>
  <si>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</si>
  <si>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</si>
  <si>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</si>
  <si>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</si>
  <si>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</si>
  <si>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</si>
  <si>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</si>
  <si>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</si>
  <si>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</si>
  <si>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</si>
  <si>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</si>
  <si>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</si>
  <si>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</si>
  <si>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</si>
  <si>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</si>
  <si>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</si>
  <si>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</si>
  <si>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</si>
  <si>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</si>
  <si>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</si>
  <si>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</si>
  <si>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</si>
  <si>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</si>
  <si>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</si>
  <si>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</si>
  <si>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</si>
  <si>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</si>
  <si>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</si>
  <si>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</si>
  <si>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</si>
  <si>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</si>
  <si>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</si>
  <si>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</si>
  <si>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</si>
  <si>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</si>
  <si>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</si>
  <si>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</si>
  <si>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</si>
  <si>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</si>
  <si>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</si>
  <si>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</si>
  <si>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</si>
  <si>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</si>
  <si>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</si>
  <si>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</si>
  <si>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</si>
  <si>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</si>
  <si>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</si>
  <si>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</si>
  <si>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</si>
  <si>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</si>
  <si>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</si>
  <si>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</si>
  <si>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</si>
  <si>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</si>
  <si>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</si>
  <si>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</si>
  <si>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</si>
  <si>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</si>
  <si>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</si>
  <si>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</si>
  <si>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</si>
  <si>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</si>
  <si>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</si>
  <si>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</si>
  <si>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</si>
  <si>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</si>
  <si>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</si>
  <si>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</si>
  <si>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</si>
  <si>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</si>
  <si>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</si>
  <si>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</si>
  <si>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</si>
  <si>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</si>
  <si>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</si>
  <si>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</si>
  <si>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</si>
  <si>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</si>
  <si>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</si>
  <si>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</si>
  <si>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</si>
  <si>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</si>
  <si>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</si>
  <si>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</si>
  <si>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</si>
  <si>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</si>
  <si>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</si>
  <si>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</si>
  <si>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</si>
  <si>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</si>
  <si>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</si>
  <si>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</si>
  <si>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</si>
  <si>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</si>
  <si>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</si>
  <si>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</si>
  <si>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</si>
  <si>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</si>
  <si>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</si>
  <si>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</si>
  <si>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</si>
  <si>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</si>
  <si>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</si>
  <si>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</si>
  <si>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</si>
  <si>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</si>
  <si>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</si>
  <si>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</si>
  <si>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</si>
  <si>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</si>
  <si>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</si>
  <si>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</si>
  <si>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</si>
  <si>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</si>
  <si>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</si>
  <si>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</si>
  <si>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</si>
  <si>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</si>
  <si>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</si>
  <si>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</si>
  <si>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</si>
  <si>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</si>
  <si>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</si>
  <si>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</si>
  <si>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</si>
  <si>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</si>
  <si>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</si>
  <si>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</si>
  <si>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</si>
  <si>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</si>
  <si>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</si>
  <si>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</si>
  <si>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</si>
  <si>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</si>
  <si>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</si>
  <si>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</si>
  <si>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</si>
  <si>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</si>
  <si>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</si>
  <si>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</si>
  <si>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</si>
  <si>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</si>
  <si>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</si>
  <si>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</si>
  <si>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</si>
  <si>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</si>
  <si>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</si>
  <si>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</si>
  <si>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</si>
  <si>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</si>
  <si>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</si>
  <si>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</si>
  <si>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</si>
  <si>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</si>
  <si>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</si>
  <si>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</si>
  <si>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</si>
  <si>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</si>
  <si>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</si>
  <si>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</si>
  <si>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</si>
  <si>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</si>
  <si>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</si>
  <si>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</si>
  <si>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</si>
  <si>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</si>
  <si>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</si>
  <si>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</si>
  <si>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</si>
  <si>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</si>
  <si>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</si>
  <si>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</si>
  <si>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</si>
  <si>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</si>
  <si>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</si>
  <si>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</si>
  <si>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</si>
  <si>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</si>
  <si>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</si>
  <si>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</si>
  <si>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</si>
  <si>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</si>
  <si>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</si>
  <si>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</si>
  <si>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</si>
  <si>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</si>
  <si>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</si>
  <si>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</si>
  <si>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</si>
  <si>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</si>
  <si>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</si>
  <si>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</si>
  <si>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</si>
  <si>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</si>
  <si>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</si>
  <si>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</si>
  <si>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</si>
  <si>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</si>
  <si>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</si>
  <si>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</si>
  <si>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</si>
  <si>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</si>
  <si>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</si>
  <si>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</si>
  <si>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</si>
  <si>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</si>
  <si>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</si>
  <si>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</si>
  <si>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</si>
  <si>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</si>
  <si>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</si>
  <si>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</si>
  <si>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</si>
  <si>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</si>
  <si>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</si>
  <si>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</si>
  <si>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</si>
  <si>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</si>
  <si>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</si>
  <si>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</si>
  <si>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</si>
  <si>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</si>
  <si>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</si>
  <si>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</si>
  <si>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</si>
  <si>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</si>
  <si>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</si>
  <si>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</si>
  <si>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</si>
  <si>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</si>
  <si>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</si>
  <si>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</si>
  <si>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</si>
  <si>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</si>
  <si>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</si>
  <si>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</si>
  <si>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</si>
  <si>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</si>
  <si>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</si>
  <si>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</si>
  <si>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</si>
  <si>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</si>
  <si>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</si>
  <si>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</si>
  <si>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</si>
  <si>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</si>
  <si>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</si>
  <si>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</si>
  <si>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</si>
  <si>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</si>
  <si>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</si>
  <si>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</si>
  <si>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</si>
  <si>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</si>
  <si>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</si>
  <si>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</si>
  <si>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</si>
  <si>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</si>
  <si>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</si>
  <si>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</si>
  <si>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</si>
  <si>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</si>
  <si>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</si>
  <si>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</si>
  <si>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</si>
  <si>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</si>
  <si>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</si>
  <si>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</si>
  <si>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</si>
  <si>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</si>
  <si>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</si>
  <si>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</si>
  <si>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</si>
  <si>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</si>
  <si>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</si>
  <si>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</si>
  <si>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</si>
  <si>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</si>
  <si>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</si>
  <si>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</si>
  <si>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</si>
  <si>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</si>
  <si>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</si>
  <si>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</si>
  <si>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</si>
  <si>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</si>
  <si>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</si>
  <si>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</si>
  <si>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</si>
  <si>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</si>
  <si>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</si>
  <si>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</si>
  <si>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</si>
  <si>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</si>
  <si>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</si>
  <si>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</si>
  <si>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</si>
  <si>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</si>
  <si>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</si>
  <si>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</si>
  <si>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</si>
  <si>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</si>
  <si>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</si>
  <si>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</si>
  <si>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</si>
  <si>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</si>
  <si>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</si>
  <si>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</si>
  <si>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</si>
  <si>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</si>
  <si>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</si>
  <si>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</si>
  <si>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</si>
  <si>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</si>
  <si>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</si>
  <si>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</si>
  <si>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</si>
  <si>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</si>
  <si>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</si>
  <si>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</si>
  <si>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</si>
  <si>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</si>
  <si>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</si>
  <si>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</si>
  <si>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</si>
  <si>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</si>
  <si>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</si>
  <si>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</si>
  <si>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</si>
  <si>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</si>
  <si>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</si>
  <si>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</si>
  <si>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</si>
  <si>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</si>
  <si>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</si>
  <si>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</si>
  <si>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</si>
  <si>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</si>
  <si>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</si>
  <si>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</si>
  <si>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</si>
  <si>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</si>
  <si>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</si>
  <si>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</si>
  <si>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</si>
  <si>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</si>
  <si>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</si>
  <si>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</si>
  <si>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</si>
  <si>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</si>
  <si>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</si>
  <si>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</si>
  <si>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</si>
  <si>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</si>
  <si>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</si>
  <si>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</si>
  <si>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</si>
  <si>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</si>
  <si>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</si>
  <si>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</si>
  <si>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</si>
  <si>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</si>
  <si>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</si>
  <si>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</si>
  <si>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</si>
  <si>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</si>
  <si>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</si>
  <si>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</si>
  <si>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</si>
  <si>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</si>
  <si>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</si>
  <si>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</si>
  <si>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</si>
  <si>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</si>
  <si>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</si>
  <si>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</si>
  <si>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</si>
  <si>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</si>
  <si>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</si>
  <si>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</si>
  <si>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</si>
  <si>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</si>
  <si>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</si>
  <si>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</si>
  <si>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</si>
  <si>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</si>
  <si>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</si>
  <si>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</si>
  <si>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</si>
  <si>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</si>
  <si>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</si>
  <si>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</si>
  <si>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</si>
  <si>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</si>
  <si>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</si>
  <si>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</si>
  <si>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</si>
  <si>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</si>
  <si>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</si>
  <si>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</si>
  <si>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</si>
  <si>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</si>
  <si>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</si>
  <si>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</si>
  <si>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</si>
  <si>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</si>
  <si>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</si>
  <si>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</si>
  <si>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</si>
  <si>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</si>
  <si>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</si>
  <si>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</si>
  <si>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</si>
  <si>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</si>
  <si>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</si>
  <si>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</si>
  <si>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</si>
  <si>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</si>
  <si>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</si>
  <si>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</si>
  <si>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</si>
  <si>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</si>
  <si>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</si>
  <si>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</si>
  <si>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</si>
  <si>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</si>
  <si>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</si>
  <si>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</si>
  <si>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</si>
  <si>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</si>
  <si>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</si>
  <si>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</si>
  <si>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</si>
  <si>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</si>
  <si>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</si>
  <si>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</si>
  <si>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</si>
  <si>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</si>
  <si>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</si>
  <si>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</si>
  <si>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</si>
  <si>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</si>
  <si>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</si>
  <si>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</si>
  <si>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</si>
  <si>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</si>
  <si>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</si>
  <si>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</si>
  <si>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</si>
  <si>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</si>
  <si>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</si>
  <si>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</si>
  <si>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</si>
  <si>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</si>
  <si>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</si>
  <si>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</si>
  <si>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</si>
  <si>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</si>
  <si>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</si>
  <si>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</si>
  <si>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</si>
  <si>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</si>
  <si>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</si>
  <si>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</si>
  <si>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</si>
  <si>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</si>
  <si>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</si>
  <si>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</si>
  <si>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</si>
  <si>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</si>
  <si>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</si>
  <si>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</si>
  <si>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</si>
  <si>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</si>
  <si>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</si>
  <si>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</si>
  <si>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</si>
  <si>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</si>
  <si>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</si>
  <si>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</si>
  <si>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</si>
  <si>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</si>
  <si>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</si>
  <si>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</si>
  <si>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</si>
  <si>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</si>
  <si>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</si>
  <si>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</si>
  <si>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</si>
  <si>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</si>
  <si>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</si>
  <si>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</si>
  <si>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</si>
  <si>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</si>
  <si>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</si>
  <si>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</si>
  <si>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</si>
  <si>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</si>
  <si>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</si>
  <si>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</si>
  <si>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</si>
  <si>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</si>
  <si>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</si>
  <si>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</si>
  <si>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</si>
  <si>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</si>
  <si>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</si>
  <si>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</si>
  <si>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</si>
  <si>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</si>
  <si>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</si>
  <si>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</si>
  <si>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</si>
  <si>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</si>
  <si>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</si>
  <si>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</si>
  <si>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</si>
  <si>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</si>
  <si>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</si>
  <si>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</si>
  <si>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</si>
  <si>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</si>
  <si>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</si>
  <si>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</si>
  <si>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</si>
  <si>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</si>
  <si>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</si>
  <si>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</si>
  <si>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</si>
  <si>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</si>
  <si>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</si>
  <si>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</si>
  <si>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</si>
  <si>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</si>
  <si>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</si>
  <si>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</si>
  <si>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</si>
  <si>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</si>
  <si>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</si>
  <si>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</si>
  <si>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</si>
  <si>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</si>
  <si>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</si>
  <si>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</si>
  <si>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</si>
  <si>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</si>
  <si>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</si>
  <si>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</si>
  <si>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</si>
  <si>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</si>
  <si>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</si>
  <si>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</si>
  <si>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</si>
  <si>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</si>
  <si>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</si>
  <si>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</si>
  <si>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</si>
  <si>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</si>
  <si>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</si>
  <si>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</si>
  <si>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</si>
  <si>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</si>
  <si>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</si>
  <si>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</si>
  <si>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</si>
  <si>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</si>
  <si>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</si>
  <si>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</si>
  <si>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</si>
  <si>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</si>
  <si>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</si>
  <si>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</si>
  <si>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</si>
  <si>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</si>
  <si>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</si>
  <si>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</si>
  <si>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</si>
  <si>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</si>
  <si>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</si>
  <si>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</si>
  <si>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</si>
  <si>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</si>
  <si>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</si>
  <si>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</si>
  <si>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</si>
  <si>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</si>
  <si>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</si>
  <si>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</si>
  <si>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</si>
  <si>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</si>
  <si>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</si>
  <si>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</si>
  <si>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</si>
  <si>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</si>
  <si>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</si>
  <si>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</si>
  <si>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</si>
  <si>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</si>
  <si>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</si>
  <si>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</si>
  <si>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</si>
  <si>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</si>
  <si>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</si>
  <si>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</si>
  <si>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</si>
  <si>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</si>
  <si>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</si>
  <si>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</si>
  <si>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</si>
  <si>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</si>
  <si>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</si>
  <si>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</si>
  <si>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</si>
  <si>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</si>
  <si>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</si>
  <si>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</si>
  <si>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</si>
  <si>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</si>
  <si>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</si>
  <si>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</si>
  <si>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</si>
  <si>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</si>
  <si>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</si>
  <si>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</si>
  <si>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</si>
  <si>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</si>
  <si>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</si>
  <si>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</si>
  <si>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</si>
  <si>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</si>
  <si>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</si>
  <si>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</si>
  <si>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</si>
  <si>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</si>
  <si>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</si>
  <si>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</si>
  <si>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</si>
  <si>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</si>
  <si>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</si>
  <si>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</si>
  <si>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</si>
  <si>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</si>
  <si>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</si>
  <si>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</si>
  <si>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</si>
  <si>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</si>
  <si>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</si>
  <si>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</si>
  <si>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</si>
  <si>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</si>
  <si>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</si>
  <si>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</si>
  <si>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</si>
  <si>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</si>
  <si>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</si>
  <si>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</si>
  <si>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</si>
  <si>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</si>
  <si>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</si>
  <si>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</si>
  <si>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</si>
  <si>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</si>
  <si>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</si>
  <si>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</si>
  <si>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</si>
  <si>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</si>
  <si>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</si>
  <si>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</si>
  <si>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</si>
  <si>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</si>
  <si>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</si>
  <si>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</si>
  <si>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</si>
  <si>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</si>
  <si>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</si>
  <si>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</si>
  <si>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</si>
  <si>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</si>
  <si>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</si>
  <si>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</si>
  <si>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</si>
  <si>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</si>
  <si>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</si>
  <si>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</si>
  <si>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</si>
  <si>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</si>
  <si>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</si>
  <si>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</si>
  <si>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</si>
  <si>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</si>
  <si>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</si>
  <si>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</si>
  <si>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</si>
  <si>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</si>
  <si>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</si>
  <si>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</si>
  <si>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</si>
  <si>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</si>
  <si>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</si>
  <si>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</si>
  <si>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</si>
  <si>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</si>
  <si>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</si>
  <si>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</si>
  <si>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</si>
  <si>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</si>
  <si>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</si>
  <si>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</si>
  <si>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</si>
  <si>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</si>
  <si>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</si>
  <si>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</si>
  <si>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</si>
  <si>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</si>
  <si>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</si>
  <si>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</si>
  <si>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</si>
  <si>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</si>
  <si>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</si>
  <si>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</si>
  <si>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</si>
  <si>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</si>
  <si>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</si>
  <si>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</si>
  <si>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</si>
  <si>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</si>
  <si>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</si>
  <si>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</si>
  <si>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</si>
  <si>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</si>
  <si>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</si>
  <si>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</si>
  <si>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</si>
  <si>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</si>
  <si>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</si>
  <si>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</si>
  <si>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</si>
  <si>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</si>
  <si>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</si>
  <si>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</si>
  <si>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</si>
  <si>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</si>
  <si>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</si>
  <si>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</si>
  <si>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</si>
  <si>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</si>
  <si>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</si>
  <si>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</si>
  <si>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</si>
  <si>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</si>
  <si>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</si>
  <si>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</si>
  <si>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</si>
  <si>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</si>
  <si>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</si>
  <si>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</si>
  <si>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</si>
  <si>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</si>
  <si>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</si>
  <si>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</si>
  <si>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</si>
  <si>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</si>
  <si>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</si>
  <si>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</si>
  <si>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</si>
  <si>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</si>
  <si>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</si>
  <si>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</si>
  <si>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</si>
  <si>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</si>
  <si>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</si>
  <si>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</si>
  <si>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</si>
  <si>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</si>
  <si>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</si>
  <si>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</si>
  <si>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</si>
  <si>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</si>
  <si>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</si>
  <si>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</si>
  <si>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</si>
  <si>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</si>
  <si>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</si>
  <si>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</si>
  <si>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</si>
  <si>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</si>
  <si>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</si>
  <si>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</si>
  <si>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</si>
  <si>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</si>
  <si>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</si>
  <si>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</si>
  <si>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</si>
  <si>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</si>
  <si>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</si>
  <si>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</si>
  <si>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</si>
  <si>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</si>
  <si>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</si>
  <si>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</si>
  <si>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</si>
  <si>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</si>
  <si>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</si>
  <si>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</si>
  <si>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</si>
  <si>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</si>
  <si>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</si>
  <si>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</si>
  <si>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</si>
  <si>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</si>
  <si>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</si>
  <si>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</si>
  <si>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</si>
  <si>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</si>
  <si>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</si>
  <si>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</si>
  <si>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</si>
  <si>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</si>
  <si>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</si>
  <si>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</si>
  <si>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</si>
  <si>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</si>
  <si>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</si>
  <si>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</si>
  <si>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</si>
  <si>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</si>
  <si>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</si>
  <si>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</si>
  <si>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</si>
  <si>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</si>
  <si>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</si>
  <si>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</si>
  <si>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</si>
  <si>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</si>
  <si>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</si>
  <si>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</si>
  <si>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</si>
  <si>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</si>
  <si>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</si>
  <si>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</si>
  <si>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</si>
  <si>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</si>
  <si>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</si>
  <si>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</si>
  <si>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</si>
  <si>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</si>
  <si>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</si>
  <si>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</si>
  <si>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</si>
  <si>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</si>
  <si>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</si>
  <si>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</si>
  <si>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</si>
  <si>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</si>
  <si>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</si>
  <si>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</si>
  <si>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</si>
  <si>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</si>
  <si>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</si>
  <si>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</si>
  <si>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</si>
  <si>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</si>
  <si>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</si>
  <si>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</si>
  <si>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</si>
  <si>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</si>
  <si>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</si>
  <si>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</si>
  <si>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</si>
  <si>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</si>
  <si>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</si>
  <si>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</si>
  <si>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</si>
  <si>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</si>
  <si>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</si>
  <si>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</si>
  <si>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</si>
  <si>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</si>
  <si>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</si>
  <si>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</si>
  <si>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</si>
  <si>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</si>
  <si>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</si>
  <si>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</si>
  <si>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</si>
  <si>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</si>
  <si>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</si>
  <si>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</si>
  <si>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</si>
  <si>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</si>
  <si>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</si>
  <si>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</si>
  <si>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</si>
  <si>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</si>
  <si>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</si>
  <si>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</si>
  <si>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</si>
  <si>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</si>
  <si>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</si>
  <si>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</si>
  <si>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</si>
  <si>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</si>
  <si>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</si>
  <si>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</si>
  <si>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</si>
  <si>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</si>
  <si>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</si>
  <si>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</si>
  <si>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</si>
  <si>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</si>
  <si>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</si>
  <si>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</si>
  <si>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</si>
  <si>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</si>
  <si>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</si>
  <si>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</si>
  <si>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</si>
  <si>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</si>
  <si>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</si>
  <si>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</si>
  <si>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</si>
  <si>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</si>
  <si>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</si>
  <si>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</si>
  <si>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</si>
  <si>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</si>
  <si>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</si>
  <si>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</si>
  <si>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</si>
  <si>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</si>
  <si>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</si>
  <si>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</si>
  <si>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</si>
  <si>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</si>
  <si>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</si>
  <si>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</si>
  <si>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</si>
  <si>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</si>
  <si>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</si>
  <si>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</si>
  <si>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</si>
  <si>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</si>
  <si>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</si>
  <si>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</si>
  <si>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</si>
  <si>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</si>
  <si>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</si>
  <si>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</si>
  <si>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</si>
  <si>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</si>
  <si>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</si>
  <si>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</si>
  <si>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</si>
  <si>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</si>
  <si>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</si>
  <si>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</si>
  <si>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</si>
  <si>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</si>
  <si>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</si>
  <si>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</si>
  <si>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</si>
  <si>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</si>
  <si>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</si>
  <si>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</si>
  <si>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</si>
  <si>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</si>
  <si>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</si>
  <si>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</si>
  <si>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</si>
  <si>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</si>
  <si>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</si>
  <si>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</si>
  <si>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</si>
  <si>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</si>
  <si>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</si>
  <si>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</si>
  <si>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</si>
  <si>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</si>
  <si>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</si>
  <si>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</si>
  <si>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</si>
  <si>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</si>
  <si>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</si>
  <si>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</si>
  <si>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</si>
  <si>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</si>
  <si>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</si>
  <si>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</si>
  <si>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</si>
  <si>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</si>
  <si>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</si>
  <si>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</si>
  <si>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</si>
  <si>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</si>
  <si>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</si>
  <si>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</si>
  <si>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</si>
  <si>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</si>
  <si>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</si>
  <si>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</si>
  <si>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</si>
  <si>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</si>
  <si>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</si>
  <si>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</si>
  <si>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</si>
  <si>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</si>
  <si>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</si>
  <si>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</si>
  <si>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</si>
  <si>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</si>
  <si>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</si>
  <si>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</si>
  <si>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</si>
  <si>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</si>
  <si>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</si>
  <si>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</si>
  <si>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</si>
  <si>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</si>
  <si>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</si>
  <si>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</si>
  <si>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</si>
  <si>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</si>
  <si>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</si>
  <si>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</si>
  <si>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</si>
  <si>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</si>
  <si>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</si>
  <si>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</si>
  <si>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</si>
  <si>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</si>
  <si>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</si>
  <si>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</si>
  <si>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</si>
  <si>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</si>
  <si>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</si>
  <si>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</si>
  <si>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</si>
  <si>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</si>
  <si>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</si>
  <si>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</si>
  <si>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</si>
  <si>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</si>
  <si>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</si>
  <si>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</si>
  <si>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</si>
  <si>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</si>
  <si>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</si>
  <si>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</si>
  <si>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</si>
  <si>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</si>
  <si>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</si>
  <si>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</si>
  <si>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</si>
  <si>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</si>
  <si>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</si>
  <si>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</si>
  <si>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</si>
  <si>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</si>
  <si>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</si>
  <si>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</si>
  <si>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</si>
  <si>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</si>
  <si>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</si>
  <si>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</si>
  <si>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</si>
  <si>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</si>
  <si>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</si>
  <si>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</si>
  <si>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</si>
  <si>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</si>
  <si>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</si>
  <si>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</si>
  <si>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</si>
  <si>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</si>
  <si>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</si>
  <si>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</si>
  <si>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</si>
  <si>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</si>
  <si>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</si>
  <si>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</si>
  <si>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</si>
  <si>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</si>
  <si>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</si>
  <si>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</si>
  <si>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</si>
  <si>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</si>
  <si>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</si>
  <si>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</si>
  <si>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</si>
  <si>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</si>
  <si>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</si>
  <si>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</si>
  <si>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</si>
  <si>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</si>
  <si>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</si>
  <si>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</si>
  <si>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</si>
  <si>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</si>
  <si>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</si>
  <si>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</si>
  <si>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</si>
  <si>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</si>
  <si>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</si>
  <si>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</si>
  <si>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</si>
  <si>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</si>
  <si>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</si>
  <si>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</si>
  <si>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</si>
  <si>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</si>
  <si>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</si>
  <si>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</si>
  <si>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</si>
  <si>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</si>
  <si>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</si>
  <si>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</si>
  <si>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</si>
  <si>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</si>
  <si>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</si>
  <si>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</si>
  <si>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</si>
  <si>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</si>
  <si>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</si>
  <si>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</si>
  <si>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</si>
  <si>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</si>
  <si>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</si>
  <si>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</si>
  <si>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</si>
  <si>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</si>
  <si>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</si>
  <si>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</si>
  <si>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</si>
  <si>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</si>
  <si>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</si>
  <si>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</si>
  <si>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</si>
  <si>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</si>
  <si>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</si>
  <si>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</si>
  <si>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</si>
  <si>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</si>
  <si>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</si>
  <si>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</si>
  <si>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</si>
  <si>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</si>
  <si>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</si>
  <si>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</si>
  <si>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</si>
  <si>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</si>
  <si>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</si>
  <si>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</si>
  <si>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</si>
  <si>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</si>
  <si>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</si>
  <si>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</si>
  <si>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</si>
  <si>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</si>
  <si>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</si>
  <si>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</si>
  <si>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</si>
  <si>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</si>
  <si>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</si>
  <si>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</si>
  <si>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</si>
  <si>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</si>
  <si>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</si>
  <si>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</si>
  <si>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</si>
  <si>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</si>
  <si>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</si>
  <si>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</si>
  <si>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</si>
  <si>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</si>
  <si>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</si>
  <si>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</si>
  <si>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</si>
  <si>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</si>
  <si>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</si>
  <si>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</si>
  <si>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</si>
  <si>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</si>
  <si>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</si>
  <si>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</si>
  <si>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</si>
  <si>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</si>
  <si>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</si>
  <si>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</si>
  <si>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</si>
  <si>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</si>
  <si>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</si>
  <si>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</si>
  <si>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</si>
  <si>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</si>
  <si>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</si>
  <si>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</si>
  <si>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</si>
  <si>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</si>
  <si>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</si>
  <si>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</si>
  <si>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</si>
  <si>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</si>
  <si>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</si>
  <si>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</si>
  <si>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</si>
  <si>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</si>
  <si>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</si>
  <si>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</si>
  <si>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</si>
  <si>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</si>
  <si>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</si>
  <si>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</si>
  <si>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</si>
  <si>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</si>
  <si>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</si>
  <si>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</si>
  <si>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</si>
  <si>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</si>
  <si>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</si>
  <si>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</si>
  <si>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</si>
  <si>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</si>
  <si>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</si>
  <si>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</si>
  <si>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</si>
  <si>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</si>
  <si>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</si>
  <si>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</si>
  <si>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</si>
  <si>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</si>
  <si>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</si>
  <si>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</si>
  <si>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</si>
  <si>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</si>
  <si>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</si>
  <si>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</si>
  <si>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</si>
  <si>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</si>
  <si>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</si>
  <si>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</si>
  <si>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</si>
  <si>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</si>
  <si>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</si>
  <si>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</si>
  <si>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</si>
  <si>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</si>
  <si>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</si>
  <si>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</si>
  <si>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</si>
  <si>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</si>
  <si>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</si>
  <si>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</si>
  <si>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</si>
  <si>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</si>
  <si>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</si>
  <si>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</si>
  <si>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</si>
  <si>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</si>
  <si>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</si>
  <si>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</si>
  <si>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</si>
  <si>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</si>
  <si>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</si>
  <si>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</si>
  <si>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</si>
  <si>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</si>
  <si>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</si>
  <si>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</si>
  <si>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</si>
  <si>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</si>
  <si>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</si>
  <si>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</si>
  <si>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</si>
  <si>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</si>
  <si>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</si>
  <si>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</si>
  <si>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</si>
  <si>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</si>
  <si>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</si>
  <si>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</si>
  <si>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</si>
  <si>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</si>
  <si>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</si>
  <si>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</si>
  <si>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</si>
  <si>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</si>
  <si>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</si>
  <si>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</si>
  <si>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</si>
  <si>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</si>
  <si>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</si>
  <si>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</si>
  <si>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</si>
  <si>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</si>
  <si>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</si>
  <si>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</si>
  <si>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</si>
  <si>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</si>
  <si>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</si>
  <si>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</si>
  <si>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</si>
  <si>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</si>
  <si>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</si>
  <si>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</si>
  <si>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</si>
  <si>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</si>
  <si>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</si>
  <si>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</si>
  <si>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</si>
  <si>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</si>
  <si>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</si>
  <si>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</si>
  <si>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</si>
  <si>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</si>
  <si>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</si>
  <si>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</si>
  <si>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</si>
  <si>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</si>
  <si>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</si>
  <si>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</si>
  <si>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</si>
  <si>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</si>
  <si>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</si>
  <si>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</si>
  <si>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</si>
  <si>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</si>
  <si>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</si>
  <si>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</si>
  <si>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</si>
  <si>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</si>
  <si>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</si>
  <si>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</si>
  <si>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</si>
  <si>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</si>
  <si>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</si>
  <si>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</si>
  <si>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</si>
  <si>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</si>
  <si>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</si>
  <si>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</si>
  <si>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</si>
  <si>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</si>
  <si>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</si>
  <si>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</si>
  <si>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</si>
  <si>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</si>
  <si>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</si>
  <si>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</si>
  <si>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</si>
  <si>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</si>
  <si>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</si>
  <si>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</si>
  <si>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</si>
  <si>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</si>
  <si>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</si>
  <si>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</si>
  <si>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</si>
  <si>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</si>
  <si>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</si>
  <si>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</si>
  <si>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</si>
  <si>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</si>
  <si>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</si>
  <si>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</si>
  <si>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</si>
  <si>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</si>
  <si>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</si>
  <si>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</si>
  <si>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</si>
  <si>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</si>
  <si>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</si>
  <si>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</si>
  <si>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</si>
  <si>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</si>
  <si>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</si>
  <si>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</si>
  <si>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</si>
  <si>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</si>
  <si>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</si>
  <si>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</si>
  <si>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</si>
  <si>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</si>
  <si>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</si>
  <si>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</si>
  <si>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</si>
  <si>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</si>
  <si>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</si>
  <si>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</si>
  <si>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</si>
  <si>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</si>
  <si>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</si>
  <si>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</si>
  <si>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</si>
  <si>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</si>
  <si>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</si>
  <si>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</si>
  <si>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</si>
  <si>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</si>
  <si>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</si>
  <si>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</si>
  <si>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</si>
  <si>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</si>
  <si>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</si>
  <si>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</si>
  <si>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</si>
  <si>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</si>
  <si>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</si>
  <si>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</si>
  <si>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</si>
  <si>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</si>
  <si>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</si>
  <si>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</si>
  <si>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</si>
  <si>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</si>
  <si>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</si>
  <si>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</si>
  <si>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</si>
  <si>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</si>
  <si>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</si>
  <si>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</si>
  <si>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</si>
  <si>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</si>
  <si>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</si>
  <si>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</si>
  <si>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</si>
  <si>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</si>
  <si>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</si>
  <si>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</si>
  <si>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</si>
  <si>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</si>
  <si>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</si>
  <si>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</si>
  <si>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</si>
  <si>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</si>
  <si>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</si>
  <si>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</si>
  <si>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</si>
  <si>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</si>
  <si>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</si>
  <si>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</si>
  <si>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</si>
  <si>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</si>
  <si>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</si>
  <si>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</si>
  <si>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</si>
  <si>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</si>
  <si>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</si>
  <si>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</si>
  <si>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</si>
  <si>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</si>
  <si>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</si>
  <si>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</si>
  <si>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</si>
  <si>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</si>
  <si>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</si>
  <si>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</si>
  <si>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</si>
  <si>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</si>
  <si>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</si>
  <si>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</si>
  <si>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</si>
  <si>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</si>
  <si>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</si>
  <si>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</si>
  <si>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</si>
  <si>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</si>
  <si>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</si>
  <si>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</si>
  <si>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</si>
  <si>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</si>
  <si>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</si>
  <si>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</si>
  <si>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</si>
  <si>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</si>
  <si>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</si>
  <si>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</si>
  <si>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</si>
  <si>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</si>
  <si>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</si>
  <si>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</si>
  <si>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</si>
  <si>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</si>
  <si>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</si>
  <si>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</si>
  <si>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</si>
  <si>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</si>
  <si>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</si>
  <si>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</si>
  <si>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</si>
  <si>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</si>
  <si>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</si>
  <si>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</si>
  <si>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</si>
  <si>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</si>
  <si>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</si>
  <si>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</si>
  <si>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</si>
  <si>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</si>
  <si>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</si>
  <si>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</si>
  <si>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</si>
  <si>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</si>
  <si>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</si>
  <si>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</si>
  <si>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</si>
  <si>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</si>
  <si>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</si>
  <si>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</si>
  <si>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</si>
  <si>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</si>
  <si>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</si>
  <si>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</si>
  <si>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</si>
  <si>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</si>
  <si>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</si>
  <si>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</si>
  <si>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</si>
  <si>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</si>
  <si>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</si>
  <si>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</si>
  <si>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</si>
  <si>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</si>
  <si>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</si>
  <si>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</si>
  <si>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</si>
  <si>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</si>
  <si>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</si>
  <si>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</si>
  <si>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</si>
  <si>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</si>
  <si>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</si>
  <si>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</si>
  <si>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</si>
  <si>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</si>
  <si>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</si>
  <si>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</si>
  <si>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</si>
  <si>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</si>
  <si>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</si>
  <si>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</si>
  <si>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</si>
  <si>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</si>
  <si>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</si>
  <si>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</si>
  <si>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</si>
  <si>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</si>
  <si>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</si>
  <si>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</si>
  <si>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</si>
  <si>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</si>
  <si>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</si>
  <si>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</si>
  <si>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</si>
  <si>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</si>
  <si>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</si>
  <si>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</si>
  <si>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</si>
  <si>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</si>
  <si>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</si>
  <si>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</si>
  <si>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</si>
  <si>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</si>
  <si>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</si>
  <si>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</si>
  <si>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</si>
  <si>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</si>
  <si>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</si>
  <si>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</si>
  <si>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</si>
  <si>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</si>
  <si>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</si>
  <si>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</si>
  <si>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</si>
  <si>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</si>
  <si>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</si>
  <si>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</si>
  <si>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</si>
  <si>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</si>
  <si>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</si>
  <si>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</si>
  <si>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</si>
  <si>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</si>
  <si>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</si>
  <si>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</si>
  <si>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</si>
  <si>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</si>
  <si>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</si>
  <si>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</si>
  <si>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</si>
  <si>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</si>
  <si>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</si>
  <si>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</si>
  <si>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</si>
  <si>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</si>
  <si>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</si>
  <si>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</si>
  <si>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</si>
  <si>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</si>
  <si>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</si>
  <si>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</si>
  <si>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</si>
  <si>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</si>
  <si>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</si>
  <si>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</si>
  <si>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</si>
  <si>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</si>
  <si>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</si>
  <si>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</si>
  <si>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</si>
  <si>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</si>
  <si>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</si>
  <si>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</si>
  <si>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</si>
  <si>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</si>
  <si>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</si>
  <si>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</si>
  <si>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</si>
  <si>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</si>
  <si>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</si>
  <si>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</si>
  <si>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</si>
  <si>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</si>
  <si>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</si>
  <si>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</si>
  <si>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</si>
  <si>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</si>
  <si>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</si>
  <si>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</si>
  <si>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</si>
  <si>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</si>
  <si>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</si>
  <si>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</si>
  <si>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</si>
  <si>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</si>
  <si>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</si>
  <si>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</si>
  <si>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</si>
  <si>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</si>
  <si>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</si>
  <si>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</si>
  <si>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</si>
  <si>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</si>
  <si>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</si>
  <si>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</si>
  <si>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</si>
  <si>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</si>
  <si>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</si>
  <si>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</si>
  <si>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</si>
  <si>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</si>
  <si>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</si>
  <si>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</si>
  <si>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</si>
  <si>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</si>
  <si>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</si>
  <si>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</si>
  <si>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</si>
  <si>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</si>
  <si>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</si>
  <si>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</si>
  <si>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</si>
  <si>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</si>
  <si>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</si>
  <si>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</si>
  <si>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</si>
  <si>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</si>
  <si>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</si>
  <si>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</si>
  <si>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</si>
  <si>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</si>
  <si>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</si>
  <si>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</si>
  <si>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</si>
  <si>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</si>
  <si>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</si>
  <si>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</si>
  <si>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</si>
  <si>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</si>
  <si>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</si>
  <si>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</si>
  <si>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</si>
  <si>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</si>
  <si>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</si>
  <si>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</si>
  <si>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</si>
  <si>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</si>
  <si>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</si>
  <si>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</si>
  <si>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</si>
  <si>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</si>
  <si>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</si>
  <si>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</si>
  <si>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</si>
  <si>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</si>
  <si>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</si>
  <si>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</si>
  <si>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</si>
  <si>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</si>
  <si>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</si>
  <si>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</si>
  <si>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</si>
  <si>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</si>
  <si>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</si>
  <si>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</si>
  <si>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</si>
  <si>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</si>
  <si>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</si>
  <si>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</si>
  <si>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</si>
  <si>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</si>
  <si>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</si>
  <si>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</si>
  <si>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</si>
  <si>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</si>
  <si>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</si>
  <si>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</si>
  <si>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</si>
  <si>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</si>
  <si>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</si>
  <si>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</si>
  <si>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</si>
  <si>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</si>
  <si>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</si>
  <si>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</si>
  <si>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</si>
  <si>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</si>
  <si>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</si>
  <si>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</si>
  <si>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</si>
  <si>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</si>
  <si>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</si>
  <si>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</si>
  <si>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</si>
  <si>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</si>
  <si>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</si>
  <si>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</si>
  <si>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</si>
  <si>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</si>
  <si>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</si>
  <si>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</si>
  <si>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</si>
  <si>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</si>
  <si>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</si>
  <si>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</si>
  <si>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</si>
  <si>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</si>
  <si>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</si>
  <si>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</si>
  <si>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</si>
  <si>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</si>
  <si>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</si>
  <si>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</si>
  <si>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</si>
  <si>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</si>
  <si>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</si>
  <si>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</si>
  <si>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</si>
  <si>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</si>
  <si>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</si>
  <si>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</si>
  <si>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</si>
  <si>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</si>
  <si>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</si>
  <si>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</si>
  <si>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</si>
  <si>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</si>
  <si>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</si>
  <si>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</si>
  <si>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</si>
  <si>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</si>
  <si>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</si>
  <si>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</si>
  <si>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</si>
  <si>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</si>
  <si>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</si>
  <si>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</si>
  <si>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</si>
  <si>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</si>
  <si>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</si>
  <si>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</si>
  <si>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</si>
  <si>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</si>
  <si>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</si>
  <si>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</si>
  <si>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</si>
  <si>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</si>
  <si>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</si>
  <si>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</si>
  <si>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</si>
  <si>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</si>
  <si>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</si>
  <si>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</si>
  <si>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</si>
  <si>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</si>
  <si>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</si>
  <si>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</si>
  <si>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</si>
  <si>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</si>
  <si>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</si>
  <si>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</si>
  <si>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</si>
  <si>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</si>
  <si>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</si>
  <si>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</si>
  <si>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</si>
  <si>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</si>
  <si>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</si>
  <si>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</si>
  <si>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</si>
  <si>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</si>
  <si>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</si>
  <si>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</si>
  <si>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</si>
  <si>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</si>
  <si>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</si>
  <si>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</si>
  <si>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</si>
  <si>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</si>
  <si>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</si>
  <si>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</si>
  <si>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</si>
  <si>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</si>
  <si>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</si>
  <si>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</si>
  <si>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</si>
  <si>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</si>
  <si>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</si>
  <si>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</si>
  <si>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</si>
  <si>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</si>
  <si>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</si>
  <si>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</si>
  <si>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</si>
  <si>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</si>
  <si>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</si>
  <si>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</si>
  <si>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</si>
  <si>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</si>
  <si>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</si>
  <si>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</si>
  <si>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</si>
  <si>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</si>
  <si>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</si>
  <si>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</si>
  <si>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</si>
  <si>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</si>
  <si>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</si>
  <si>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</si>
  <si>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</si>
  <si>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</si>
  <si>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</si>
  <si>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</si>
  <si>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</si>
  <si>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</si>
  <si>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</si>
  <si>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</si>
  <si>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</si>
  <si>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</si>
  <si>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</si>
  <si>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</si>
  <si>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</si>
  <si>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</si>
  <si>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</si>
  <si>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</si>
  <si>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</si>
  <si>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</si>
  <si>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</si>
  <si>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</si>
  <si>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</si>
  <si>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</si>
  <si>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</si>
  <si>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</si>
  <si>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</si>
  <si>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</si>
  <si>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</si>
  <si>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</si>
  <si>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</si>
  <si>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</si>
  <si>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</si>
  <si>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</si>
  <si>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</si>
  <si>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</si>
  <si>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</si>
  <si>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</si>
  <si>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</si>
  <si>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</si>
  <si>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</si>
  <si>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</si>
  <si>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</si>
  <si>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</si>
  <si>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</si>
  <si>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</si>
  <si>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</si>
  <si>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</si>
  <si>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</si>
  <si>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</si>
  <si>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</si>
  <si>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</si>
  <si>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</si>
  <si>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</si>
  <si>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</si>
  <si>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</si>
  <si>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</si>
  <si>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</si>
  <si>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</si>
  <si>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</si>
  <si>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</si>
  <si>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</si>
  <si>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</si>
  <si>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</si>
  <si>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</si>
  <si>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</si>
  <si>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</si>
  <si>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</si>
  <si>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</si>
  <si>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</si>
  <si>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</si>
  <si>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</si>
  <si>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</si>
  <si>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</si>
  <si>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</si>
  <si>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</si>
  <si>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</si>
  <si>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</si>
  <si>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</si>
  <si>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</si>
  <si>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</si>
  <si>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</si>
  <si>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</si>
  <si>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</si>
  <si>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</si>
  <si>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</si>
  <si>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</si>
  <si>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</si>
  <si>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</si>
  <si>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</si>
  <si>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</si>
  <si>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</si>
  <si>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</si>
  <si>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</si>
  <si>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</si>
  <si>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</si>
  <si>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</si>
  <si>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</si>
  <si>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</si>
  <si>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</si>
  <si>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</si>
  <si>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</si>
  <si>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</si>
  <si>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</si>
  <si>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</si>
  <si>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</si>
  <si>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</si>
  <si>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</si>
  <si>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</si>
  <si>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</si>
  <si>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</si>
  <si>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</si>
  <si>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</si>
  <si>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</si>
  <si>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</si>
  <si>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</si>
  <si>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</si>
  <si>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</si>
  <si>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</si>
  <si>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</si>
  <si>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</si>
  <si>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</si>
  <si>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</si>
  <si>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</si>
  <si>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</si>
  <si>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</si>
  <si>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</si>
  <si>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</si>
  <si>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</si>
  <si>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</si>
  <si>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</si>
  <si>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</si>
  <si>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</si>
  <si>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</si>
  <si>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</si>
  <si>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</si>
  <si>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</si>
  <si>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</si>
  <si>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</si>
  <si>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</si>
  <si>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</si>
  <si>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</si>
  <si>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</si>
  <si>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</si>
  <si>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</si>
  <si>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</si>
  <si>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</si>
  <si>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</si>
  <si>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</si>
  <si>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</si>
  <si>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</si>
  <si>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</si>
  <si>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</si>
  <si>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</si>
  <si>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</si>
  <si>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</si>
  <si>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</si>
  <si>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</si>
  <si>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</si>
  <si>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</si>
  <si>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</si>
  <si>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</si>
  <si>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</si>
  <si>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</si>
  <si>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</si>
  <si>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</si>
  <si>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</si>
  <si>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</si>
  <si>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</si>
  <si>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</si>
  <si>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</si>
  <si>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</si>
  <si>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</si>
  <si>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</si>
  <si>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</si>
  <si>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</si>
  <si>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</si>
  <si>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</si>
  <si>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</si>
  <si>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</si>
  <si>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</si>
  <si>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</si>
  <si>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</si>
  <si>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</si>
  <si>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</si>
  <si>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</si>
  <si>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</si>
  <si>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</si>
  <si>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</si>
  <si>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</si>
  <si>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</si>
  <si>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</si>
  <si>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</si>
  <si>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</si>
  <si>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</si>
  <si>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</si>
  <si>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</si>
  <si>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</si>
  <si>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</si>
  <si>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</si>
  <si>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</si>
  <si>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</si>
  <si>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</si>
  <si>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</si>
  <si>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</si>
  <si>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</si>
  <si>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</si>
  <si>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</si>
  <si>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</si>
  <si>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</si>
  <si>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</si>
  <si>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</si>
  <si>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</si>
  <si>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</si>
  <si>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</si>
  <si>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</si>
  <si>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</si>
  <si>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</si>
  <si>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</si>
  <si>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</si>
  <si>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</si>
  <si>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</si>
  <si>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</si>
  <si>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</si>
  <si>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</si>
  <si>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</si>
  <si>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</si>
  <si>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</si>
  <si>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</si>
  <si>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</si>
  <si>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</si>
  <si>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</si>
  <si>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</si>
  <si>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</si>
  <si>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</si>
  <si>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</si>
  <si>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</si>
  <si>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</si>
  <si>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</si>
  <si>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</si>
  <si>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</si>
  <si>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</si>
  <si>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</si>
  <si>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</si>
  <si>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</si>
  <si>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</si>
  <si>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</si>
  <si>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</si>
  <si>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</si>
  <si>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</si>
  <si>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</si>
  <si>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</si>
  <si>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</si>
  <si>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</si>
  <si>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</si>
  <si>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</si>
  <si>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</si>
  <si>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</si>
  <si>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</si>
  <si>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</si>
  <si>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</si>
  <si>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</si>
  <si>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</si>
  <si>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</si>
  <si>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</si>
  <si>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</si>
  <si>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</si>
  <si>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</si>
  <si>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</si>
  <si>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</si>
  <si>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</si>
  <si>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</si>
  <si>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</si>
  <si>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</si>
  <si>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</si>
  <si>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</si>
  <si>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</si>
  <si>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</si>
  <si>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</si>
  <si>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</si>
  <si>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</si>
  <si>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</si>
  <si>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</si>
  <si>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</si>
  <si>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</si>
  <si>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</si>
  <si>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</si>
  <si>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</si>
  <si>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</si>
  <si>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</si>
  <si>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</si>
  <si>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</si>
  <si>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</si>
  <si>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</si>
  <si>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</si>
  <si>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</si>
  <si>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</si>
  <si>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</si>
  <si>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</si>
  <si>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</si>
  <si>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</si>
  <si>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</si>
  <si>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</si>
  <si>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</si>
  <si>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</si>
  <si>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</si>
  <si>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</si>
  <si>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</si>
  <si>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</si>
  <si>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</si>
  <si>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</si>
  <si>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</si>
  <si>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</si>
  <si>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</si>
  <si>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</si>
  <si>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</si>
  <si>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</si>
  <si>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</si>
  <si>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</si>
  <si>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</si>
  <si>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</si>
  <si>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</si>
  <si>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</si>
  <si>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</si>
  <si>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</si>
  <si>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</si>
  <si>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</si>
  <si>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</si>
  <si>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</si>
  <si>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</si>
  <si>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</si>
  <si>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</si>
  <si>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</si>
  <si>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</si>
  <si>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</si>
  <si>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</si>
  <si>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</si>
  <si>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</si>
  <si>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</si>
  <si>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</si>
  <si>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</si>
  <si>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</si>
  <si>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</si>
  <si>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</si>
  <si>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</si>
  <si>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</si>
  <si>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</si>
  <si>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</si>
  <si>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</si>
  <si>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</si>
  <si>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</si>
  <si>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</si>
  <si>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</si>
  <si>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</si>
  <si>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</si>
  <si>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</si>
  <si>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</si>
  <si>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</si>
  <si>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</si>
  <si>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</si>
  <si>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</si>
  <si>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</si>
  <si>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</si>
  <si>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</si>
  <si>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</si>
  <si>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</si>
  <si>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</si>
  <si>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</si>
  <si>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</si>
  <si>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</si>
  <si>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</si>
  <si>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</si>
  <si>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</si>
  <si>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</si>
  <si>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</si>
  <si>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</si>
  <si>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</si>
  <si>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</si>
  <si>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</si>
  <si>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</si>
  <si>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</si>
  <si>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</si>
  <si>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</si>
  <si>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</si>
  <si>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</si>
  <si>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</si>
  <si>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</si>
  <si>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</si>
  <si>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</si>
  <si>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</si>
  <si>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</si>
  <si>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</si>
  <si>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</si>
  <si>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</si>
  <si>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</si>
  <si>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</si>
  <si>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</si>
  <si>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</si>
  <si>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</si>
  <si>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</si>
  <si>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</si>
  <si>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</si>
  <si>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</si>
  <si>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</si>
  <si>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</si>
  <si>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</si>
  <si>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</si>
  <si>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</si>
  <si>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</si>
  <si>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</si>
  <si>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</si>
  <si>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</si>
  <si>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</si>
  <si>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</si>
  <si>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</si>
  <si>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</si>
  <si>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</si>
  <si>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</si>
  <si>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</si>
  <si>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</si>
  <si>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</si>
  <si>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</si>
  <si>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</si>
  <si>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</si>
  <si>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</si>
  <si>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</si>
  <si>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</si>
  <si>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</si>
  <si>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</si>
  <si>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</si>
  <si>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</si>
  <si>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</si>
  <si>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</si>
  <si>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</si>
  <si>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</si>
  <si>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</si>
  <si>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</si>
  <si>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</si>
  <si>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</si>
  <si>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</si>
  <si>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</si>
  <si>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</si>
  <si>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</si>
  <si>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</si>
  <si>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</si>
  <si>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</si>
  <si>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</si>
  <si>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</si>
  <si>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</si>
  <si>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</si>
  <si>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</si>
  <si>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</si>
  <si>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</si>
  <si>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</si>
  <si>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</si>
  <si>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</si>
  <si>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</si>
  <si>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</si>
  <si>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</si>
  <si>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</si>
  <si>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</si>
  <si>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</si>
  <si>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</si>
  <si>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</si>
  <si>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</si>
  <si>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</si>
  <si>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</si>
  <si>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</si>
  <si>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</si>
  <si>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</si>
  <si>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</si>
  <si>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</si>
  <si>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</si>
  <si>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</si>
  <si>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</si>
  <si>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</si>
  <si>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</si>
  <si>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</si>
  <si>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</si>
  <si>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</si>
  <si>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</si>
  <si>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</si>
  <si>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</si>
  <si>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</si>
  <si>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</si>
  <si>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</si>
  <si>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</si>
  <si>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</si>
  <si>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</si>
  <si>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</si>
  <si>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</si>
  <si>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</si>
  <si>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</si>
  <si>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</si>
  <si>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</si>
  <si>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</si>
  <si>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</si>
  <si>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</si>
  <si>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</si>
  <si>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</si>
  <si>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</si>
  <si>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</si>
  <si>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</si>
  <si>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</si>
  <si>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</si>
  <si>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</si>
  <si>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</si>
  <si>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</si>
  <si>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</si>
  <si>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</si>
  <si>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</si>
  <si>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</si>
  <si>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</si>
  <si>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</si>
  <si>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</si>
  <si>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</si>
  <si>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</si>
  <si>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</si>
  <si>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</si>
  <si>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</si>
  <si>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</si>
  <si>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</si>
  <si>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</si>
  <si>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</si>
  <si>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</si>
  <si>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</si>
  <si>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</si>
  <si>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</si>
  <si>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</si>
  <si>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</si>
  <si>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</si>
  <si>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</si>
  <si>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</si>
  <si>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</si>
  <si>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</si>
  <si>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</si>
  <si>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</si>
  <si>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</si>
  <si>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</si>
  <si>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</si>
  <si>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</si>
  <si>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</si>
  <si>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</si>
  <si>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</si>
  <si>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</si>
  <si>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</si>
  <si>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</si>
  <si>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</si>
  <si>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</si>
  <si>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</si>
  <si>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</si>
  <si>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</si>
  <si>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</si>
  <si>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</si>
  <si>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</si>
  <si>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</si>
  <si>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</si>
  <si>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</si>
  <si>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</si>
  <si>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</si>
  <si>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</si>
  <si>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</si>
  <si>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</si>
  <si>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</si>
  <si>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</si>
  <si>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</si>
  <si>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</si>
  <si>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</si>
  <si>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</si>
  <si>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</si>
  <si>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</si>
  <si>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</si>
  <si>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</si>
  <si>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</si>
  <si>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</si>
  <si>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</si>
  <si>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</si>
  <si>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</si>
  <si>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</si>
  <si>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</si>
  <si>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</si>
  <si>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</si>
  <si>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</si>
  <si>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</si>
  <si>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</si>
  <si>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</si>
  <si>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</si>
  <si>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</si>
  <si>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</si>
  <si>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</si>
  <si>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</si>
  <si>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</si>
  <si>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</si>
  <si>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</si>
  <si>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</si>
  <si>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</si>
  <si>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</si>
  <si>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</si>
  <si>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</si>
  <si>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</si>
  <si>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</si>
  <si>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</si>
  <si>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</si>
  <si>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</si>
  <si>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</si>
  <si>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</si>
  <si>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</si>
  <si>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</si>
  <si>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</si>
  <si>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</si>
  <si>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</si>
  <si>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</si>
  <si>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</si>
  <si>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</si>
  <si>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</si>
  <si>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</si>
  <si>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</si>
  <si>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</si>
  <si>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</si>
  <si>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</si>
  <si>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</si>
  <si>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</si>
  <si>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</si>
  <si>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</si>
  <si>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</si>
  <si>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</si>
  <si>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</si>
  <si>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</si>
  <si>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</si>
  <si>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</si>
  <si>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</si>
  <si>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</si>
  <si>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</si>
  <si>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</si>
  <si>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</si>
  <si>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</si>
  <si>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</si>
  <si>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</si>
  <si>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</si>
  <si>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</si>
  <si>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</si>
  <si>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</si>
  <si>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</si>
  <si>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</si>
  <si>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</si>
  <si>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</si>
  <si>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</si>
  <si>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</si>
  <si>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</si>
  <si>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</si>
  <si>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</si>
  <si>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</si>
  <si>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</si>
  <si>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</si>
  <si>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</si>
  <si>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</si>
  <si>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</si>
  <si>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</si>
  <si>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</si>
  <si>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</si>
  <si>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</si>
  <si>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</si>
  <si>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</si>
  <si>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</si>
  <si>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</si>
  <si>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</si>
  <si>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</si>
  <si>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</si>
  <si>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</si>
  <si>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</si>
  <si>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</si>
  <si>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</si>
  <si>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</si>
  <si>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</si>
  <si>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</si>
  <si>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</si>
  <si>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</si>
  <si>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</si>
  <si>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</si>
  <si>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</si>
  <si>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</si>
  <si>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</si>
  <si>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</si>
  <si>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</si>
  <si>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</si>
  <si>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</si>
  <si>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</si>
  <si>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</si>
  <si>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</si>
  <si>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</si>
  <si>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</si>
  <si>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</si>
  <si>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</si>
  <si>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</si>
  <si>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</si>
  <si>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</si>
  <si>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</si>
  <si>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</si>
  <si>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</si>
  <si>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</si>
  <si>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</si>
  <si>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</si>
  <si>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</si>
  <si>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</si>
  <si>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</si>
  <si>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</si>
  <si>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</si>
  <si>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</si>
  <si>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</si>
  <si>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</si>
  <si>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</si>
  <si>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</si>
  <si>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</si>
  <si>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</si>
  <si>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</si>
  <si>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</si>
  <si>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</si>
  <si>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</si>
  <si>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</si>
  <si>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</si>
  <si>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</si>
  <si>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</si>
  <si>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</si>
  <si>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</si>
  <si>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</si>
  <si>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</si>
  <si>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</si>
  <si>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</si>
  <si>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</si>
  <si>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</si>
  <si>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</si>
  <si>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</si>
  <si>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</si>
  <si>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</si>
  <si>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</si>
  <si>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</si>
  <si>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</si>
  <si>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</si>
  <si>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</si>
  <si>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</si>
  <si>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</si>
  <si>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</si>
  <si>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</si>
  <si>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</si>
  <si>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</si>
  <si>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</si>
  <si>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</si>
  <si>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</si>
  <si>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</si>
  <si>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</si>
  <si>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</si>
  <si>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</si>
  <si>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</si>
  <si>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</si>
  <si>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</si>
  <si>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</si>
  <si>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</si>
  <si>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</si>
  <si>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</si>
  <si>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</si>
  <si>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</si>
  <si>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</si>
  <si>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</si>
  <si>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</si>
  <si>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</si>
  <si>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</si>
  <si>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</si>
  <si>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</si>
  <si>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</si>
  <si>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</si>
  <si>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</si>
  <si>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</si>
  <si>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</si>
  <si>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</si>
  <si>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</si>
  <si>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</si>
  <si>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</si>
  <si>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</si>
  <si>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</si>
  <si>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</si>
  <si>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</si>
  <si>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</si>
  <si>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</si>
  <si>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</si>
  <si>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</si>
  <si>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</si>
  <si>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</si>
  <si>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</si>
  <si>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</si>
  <si>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</si>
  <si>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</si>
  <si>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</si>
  <si>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</si>
  <si>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</si>
  <si>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</si>
  <si>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</si>
  <si>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</si>
  <si>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</si>
  <si>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</si>
  <si>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</si>
  <si>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</si>
  <si>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</si>
  <si>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</si>
  <si>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</si>
  <si>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</si>
  <si>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</si>
  <si>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</si>
  <si>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</si>
  <si>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</si>
  <si>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</si>
  <si>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</si>
  <si>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</si>
  <si>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</si>
  <si>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</si>
  <si>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</si>
  <si>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</si>
  <si>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</si>
  <si>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</si>
  <si>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</si>
  <si>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</si>
  <si>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</si>
  <si>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</si>
  <si>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</si>
  <si>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</si>
  <si>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</si>
  <si>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</si>
  <si>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</si>
  <si>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</si>
  <si>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</si>
  <si>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</si>
  <si>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</si>
  <si>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</si>
  <si>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</si>
  <si>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</si>
  <si>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</si>
  <si>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</si>
  <si>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</si>
  <si>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</si>
  <si>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</si>
  <si>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</si>
  <si>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</si>
  <si>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</si>
  <si>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</si>
  <si>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</si>
  <si>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</si>
  <si>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</si>
  <si>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</si>
  <si>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</si>
  <si>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</si>
  <si>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</si>
  <si>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</si>
  <si>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</si>
  <si>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</si>
  <si>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</si>
  <si>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</si>
  <si>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</si>
  <si>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</si>
  <si>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</si>
  <si>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</si>
  <si>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</si>
  <si>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</si>
  <si>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</si>
  <si>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</si>
  <si>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</si>
  <si>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</si>
  <si>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</si>
  <si>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</si>
  <si>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</si>
  <si>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</si>
  <si>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</si>
  <si>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</si>
  <si>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</si>
  <si>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</si>
  <si>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</si>
  <si>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</si>
  <si>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</si>
  <si>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</si>
  <si>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</si>
  <si>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</si>
  <si>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</si>
  <si>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</si>
  <si>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</si>
  <si>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</si>
  <si>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</si>
  <si>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</si>
  <si>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</si>
  <si>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</si>
  <si>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</si>
  <si>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</si>
  <si>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</si>
  <si>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</si>
  <si>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</si>
  <si>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</si>
  <si>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</si>
  <si>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</si>
  <si>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</si>
  <si>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</si>
  <si>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</si>
  <si>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</si>
  <si>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</si>
  <si>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</si>
  <si>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</si>
  <si>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</si>
  <si>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</si>
  <si>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</si>
  <si>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</si>
  <si>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</si>
  <si>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</si>
  <si>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</si>
  <si>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</si>
  <si>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</si>
  <si>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</si>
  <si>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</si>
  <si>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</si>
  <si>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</si>
  <si>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</si>
  <si>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</si>
  <si>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</si>
  <si>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</si>
  <si>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</si>
  <si>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</si>
  <si>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</si>
  <si>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</si>
  <si>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</si>
  <si>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</si>
  <si>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</si>
  <si>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</si>
  <si>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</si>
  <si>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</si>
  <si>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</si>
  <si>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</si>
  <si>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</si>
  <si>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</si>
  <si>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</si>
  <si>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</si>
  <si>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</si>
  <si>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</si>
  <si>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</si>
  <si>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</si>
  <si>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</si>
  <si>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</si>
  <si>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</si>
  <si>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</si>
  <si>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</si>
  <si>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</si>
  <si>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</si>
  <si>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</si>
  <si>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</si>
  <si>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</si>
  <si>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</si>
  <si>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</si>
  <si>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</si>
  <si>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</si>
  <si>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</si>
  <si>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</si>
  <si>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</si>
  <si>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</si>
  <si>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</si>
  <si>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</si>
  <si>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</si>
  <si>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</si>
  <si>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</si>
  <si>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</si>
  <si>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</si>
  <si>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</si>
  <si>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</si>
  <si>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</si>
  <si>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</si>
  <si>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</si>
  <si>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</si>
  <si>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</si>
  <si>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</si>
  <si>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</si>
  <si>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</si>
  <si>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</si>
  <si>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</si>
  <si>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</si>
  <si>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</si>
  <si>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</si>
  <si>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</si>
  <si>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</si>
  <si>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</si>
  <si>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</si>
  <si>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</si>
  <si>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</si>
  <si>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</si>
  <si>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</si>
  <si>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</si>
  <si>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</si>
  <si>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</si>
  <si>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</si>
  <si>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</si>
  <si>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</si>
  <si>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</si>
  <si>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</si>
  <si>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</si>
  <si>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</si>
  <si>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</si>
  <si>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</si>
  <si>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</si>
  <si>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</si>
  <si>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</si>
  <si>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</si>
  <si>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</si>
  <si>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</si>
  <si>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</si>
  <si>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</si>
  <si>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</si>
  <si>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</si>
  <si>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</si>
  <si>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</si>
  <si>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</si>
  <si>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</si>
  <si>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</si>
  <si>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</si>
  <si>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</si>
  <si>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</si>
  <si>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</si>
  <si>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</si>
  <si>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</si>
  <si>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</si>
  <si>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</si>
  <si>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</si>
  <si>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</si>
  <si>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</si>
  <si>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</si>
  <si>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</si>
  <si>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</si>
  <si>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</si>
  <si>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</si>
  <si>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</si>
  <si>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</si>
  <si>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</si>
  <si>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</si>
  <si>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</si>
  <si>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</si>
  <si>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</si>
  <si>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</si>
  <si>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</si>
  <si>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</si>
  <si>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</si>
  <si>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</si>
  <si>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</si>
  <si>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</si>
  <si>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</si>
  <si>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</si>
  <si>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</si>
  <si>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</si>
  <si>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</si>
  <si>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</si>
  <si>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</si>
  <si>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</si>
  <si>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</si>
  <si>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</si>
  <si>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</si>
  <si>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</si>
  <si>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</si>
  <si>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</si>
  <si>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</si>
  <si>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</si>
  <si>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</si>
  <si>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</si>
  <si>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</si>
  <si>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</si>
  <si>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</si>
  <si>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</si>
  <si>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</si>
  <si>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</si>
  <si>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</si>
  <si>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</si>
  <si>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</si>
  <si>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</si>
  <si>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</si>
  <si>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</si>
  <si>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</si>
  <si>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</si>
  <si>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</si>
  <si>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</si>
  <si>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</si>
  <si>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</si>
  <si>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</si>
  <si>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</si>
  <si>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</si>
  <si>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</si>
  <si>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</si>
  <si>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</si>
  <si>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</si>
  <si>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</si>
  <si>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</si>
  <si>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</si>
  <si>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</si>
  <si>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</si>
  <si>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</si>
  <si>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</si>
  <si>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</si>
  <si>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</si>
  <si>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</si>
  <si>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</si>
  <si>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</si>
  <si>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</si>
  <si>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</si>
  <si>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</si>
  <si>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</si>
  <si>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</si>
  <si>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</si>
  <si>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</si>
  <si>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</si>
  <si>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</si>
  <si>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</si>
  <si>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</si>
  <si>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</si>
  <si>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</si>
  <si>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</si>
  <si>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</si>
  <si>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</si>
  <si>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</si>
  <si>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</si>
  <si>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</si>
  <si>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</si>
  <si>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</si>
  <si>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</si>
  <si>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</si>
  <si>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</si>
  <si>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</si>
  <si>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</si>
  <si>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</si>
  <si>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</si>
  <si>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</si>
  <si>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</si>
  <si>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</si>
  <si>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</si>
  <si>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</si>
  <si>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</si>
  <si>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</si>
  <si>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</si>
  <si>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</si>
  <si>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</si>
  <si>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</si>
  <si>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</si>
  <si>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</si>
  <si>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</si>
  <si>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</si>
  <si>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</si>
  <si>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</si>
  <si>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</si>
  <si>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</si>
  <si>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</si>
  <si>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</si>
  <si>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</si>
  <si>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</si>
  <si>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</si>
  <si>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</si>
  <si>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</si>
  <si>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</si>
  <si>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</si>
  <si>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</si>
  <si>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</si>
  <si>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</si>
  <si>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</si>
  <si>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</si>
  <si>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</si>
  <si>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</si>
  <si>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</si>
  <si>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</si>
  <si>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</si>
  <si>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</si>
  <si>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</si>
  <si>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</si>
  <si>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</si>
  <si>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</si>
  <si>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</si>
  <si>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</si>
  <si>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</si>
  <si>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</si>
  <si>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</si>
  <si>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</si>
  <si>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</si>
  <si>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</si>
  <si>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</si>
  <si>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</si>
  <si>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</si>
  <si>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</si>
  <si>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</si>
  <si>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</si>
  <si>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</si>
  <si>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</si>
  <si>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</si>
  <si>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</si>
  <si>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</si>
  <si>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</si>
  <si>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</si>
  <si>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</si>
  <si>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</si>
  <si>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</si>
  <si>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</si>
  <si>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</si>
  <si>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</si>
  <si>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</si>
  <si>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</si>
  <si>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</si>
  <si>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</si>
  <si>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</si>
  <si>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</si>
  <si>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</si>
  <si>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</si>
  <si>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</si>
  <si>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</si>
  <si>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</si>
  <si>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</si>
  <si>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</si>
  <si>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</si>
  <si>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</si>
  <si>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</si>
  <si>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</si>
  <si>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</si>
  <si>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</si>
  <si>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</si>
  <si>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</si>
  <si>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</si>
  <si>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</si>
  <si>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</si>
  <si>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</si>
  <si>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</si>
  <si>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</si>
  <si>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</si>
  <si>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</si>
  <si>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</si>
  <si>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</si>
  <si>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</si>
  <si>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</si>
  <si>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</si>
  <si>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</si>
  <si>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</si>
  <si>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</si>
  <si>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</si>
  <si>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</si>
  <si>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</si>
  <si>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</si>
  <si>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</si>
  <si>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</si>
  <si>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</si>
  <si>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</si>
  <si>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</si>
  <si>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</si>
  <si>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</si>
  <si>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</si>
  <si>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</si>
  <si>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</si>
  <si>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</si>
  <si>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</si>
  <si>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</si>
  <si>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</si>
  <si>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</si>
  <si>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</si>
  <si>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</si>
  <si>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</si>
  <si>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</si>
  <si>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</si>
  <si>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</si>
  <si>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</si>
  <si>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</si>
  <si>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</si>
  <si>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</si>
  <si>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</si>
  <si>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</si>
  <si>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</si>
  <si>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</si>
  <si>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</si>
  <si>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</si>
  <si>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</si>
  <si>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</si>
  <si>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</si>
  <si>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</si>
  <si>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</si>
  <si>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</si>
  <si>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</si>
  <si>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</si>
  <si>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</si>
  <si>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</si>
  <si>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</si>
  <si>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</si>
  <si>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</si>
  <si>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</si>
  <si>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</si>
  <si>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</si>
  <si>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</si>
  <si>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</si>
  <si>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</si>
  <si>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</si>
  <si>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</si>
  <si>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</si>
  <si>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</si>
  <si>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</si>
  <si>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</si>
  <si>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</si>
  <si>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</si>
  <si>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</si>
  <si>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</si>
  <si>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</si>
  <si>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</si>
  <si>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</si>
  <si>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</si>
  <si>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</si>
  <si>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</si>
  <si>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</si>
  <si>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</si>
  <si>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</si>
  <si>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</si>
  <si>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</si>
  <si>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</si>
  <si>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</si>
  <si>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</si>
  <si>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</si>
  <si>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</si>
  <si>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</si>
  <si>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</si>
  <si>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</si>
  <si>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</si>
  <si>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</si>
  <si>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</si>
  <si>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</si>
  <si>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</si>
  <si>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</si>
  <si>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</si>
  <si>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</si>
  <si>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</si>
  <si>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</si>
  <si>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</si>
  <si>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</si>
  <si>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</si>
  <si>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</si>
  <si>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</si>
  <si>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</si>
  <si>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</si>
  <si>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</si>
  <si>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</si>
  <si>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</si>
  <si>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</si>
  <si>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</si>
  <si>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</si>
  <si>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</si>
  <si>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</si>
  <si>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</si>
  <si>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</si>
  <si>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</si>
  <si>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</si>
  <si>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</si>
  <si>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</si>
  <si>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</si>
  <si>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</si>
  <si>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</si>
  <si>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</si>
  <si>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</si>
  <si>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</si>
  <si>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</si>
  <si>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</si>
  <si>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</si>
  <si>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</si>
  <si>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</si>
  <si>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</si>
  <si>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</si>
  <si>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</si>
  <si>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</si>
  <si>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</si>
  <si>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</si>
  <si>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</si>
  <si>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</si>
  <si>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</si>
  <si>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</si>
  <si>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</si>
  <si>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</si>
  <si>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</si>
  <si>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</si>
  <si>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</si>
  <si>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</si>
  <si>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</si>
  <si>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</si>
  <si>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</si>
  <si>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</si>
  <si>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</si>
  <si>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</si>
  <si>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</si>
  <si>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</si>
  <si>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</si>
  <si>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</si>
  <si>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</si>
  <si>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</si>
  <si>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</si>
  <si>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</si>
  <si>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</si>
  <si>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</si>
  <si>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</si>
  <si>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</si>
  <si>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</si>
  <si>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</si>
  <si>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</si>
  <si>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</si>
  <si>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</si>
  <si>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</si>
  <si>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</si>
  <si>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</si>
  <si>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</si>
  <si>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</si>
  <si>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</si>
  <si>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</si>
  <si>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</si>
  <si>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</si>
  <si>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</si>
  <si>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</si>
  <si>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</si>
  <si>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</si>
  <si>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</si>
  <si>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</si>
  <si>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</si>
  <si>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</si>
  <si>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</si>
  <si>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</si>
  <si>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</si>
  <si>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</si>
  <si>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</si>
  <si>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</si>
  <si>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</si>
  <si>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</si>
  <si>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</si>
  <si>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</si>
  <si>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</si>
  <si>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</si>
  <si>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</si>
  <si>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</si>
  <si>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</si>
  <si>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</si>
  <si>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</si>
  <si>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</si>
  <si>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</si>
  <si>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</si>
  <si>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</si>
  <si>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</si>
  <si>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</si>
  <si>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</si>
  <si>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</si>
  <si>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</si>
  <si>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</si>
  <si>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</si>
  <si>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</si>
  <si>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</si>
  <si>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</si>
  <si>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</si>
  <si>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</si>
  <si>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</si>
  <si>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</si>
  <si>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</si>
  <si>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</si>
  <si>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</si>
  <si>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</si>
  <si>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</si>
  <si>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</si>
  <si>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</si>
  <si>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</si>
  <si>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</si>
  <si>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</si>
  <si>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</si>
  <si>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</si>
  <si>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</si>
  <si>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</si>
  <si>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</si>
  <si>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</si>
  <si>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</si>
  <si>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</si>
  <si>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</si>
  <si>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</si>
  <si>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</si>
  <si>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</si>
  <si>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</si>
  <si>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</si>
  <si>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</si>
  <si>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</si>
  <si>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</si>
  <si>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</si>
  <si>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</si>
  <si>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</si>
  <si>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</si>
  <si>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</si>
  <si>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</si>
  <si>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</si>
  <si>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</si>
  <si>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</si>
  <si>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</si>
  <si>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</si>
  <si>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</si>
  <si>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</si>
  <si>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</si>
  <si>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</si>
  <si>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</si>
  <si>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</si>
  <si>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</si>
  <si>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</si>
  <si>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</si>
  <si>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</si>
  <si>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</si>
  <si>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</si>
  <si>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</si>
  <si>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</si>
  <si>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</si>
  <si>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</si>
  <si>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</si>
  <si>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</si>
  <si>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</si>
  <si>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</si>
  <si>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</si>
  <si>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</si>
  <si>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</si>
  <si>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</si>
  <si>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</si>
  <si>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</si>
  <si>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</si>
  <si>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</si>
  <si>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</si>
  <si>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</si>
  <si>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</si>
  <si>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</si>
  <si>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</si>
  <si>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</si>
  <si>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</si>
  <si>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</si>
  <si>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</si>
  <si>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</si>
  <si>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</si>
  <si>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</si>
  <si>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</si>
  <si>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</si>
  <si>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</si>
  <si>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</si>
  <si>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</si>
  <si>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</si>
  <si>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</si>
  <si>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</si>
  <si>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</si>
  <si>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</si>
  <si>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</si>
  <si>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</si>
  <si>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</si>
  <si>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</si>
  <si>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</si>
  <si>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</si>
  <si>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</si>
  <si>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</si>
  <si>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</si>
  <si>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</si>
  <si>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</si>
  <si>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</si>
  <si>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</si>
  <si>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</si>
  <si>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</si>
  <si>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</si>
  <si>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</si>
  <si>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</si>
  <si>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</si>
  <si>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</si>
  <si>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</si>
  <si>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</si>
  <si>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</si>
  <si>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</si>
  <si>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</si>
  <si>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</si>
  <si>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</si>
  <si>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</si>
  <si>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</si>
  <si>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</si>
  <si>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</si>
  <si>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</si>
  <si>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</si>
  <si>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</si>
  <si>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</si>
  <si>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</si>
  <si>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</si>
  <si>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</si>
  <si>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</si>
  <si>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</si>
  <si>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</si>
  <si>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</si>
  <si>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</si>
  <si>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</si>
  <si>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</si>
  <si>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</si>
  <si>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</si>
  <si>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</si>
  <si>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</si>
  <si>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</si>
  <si>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</si>
  <si>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</si>
  <si>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</si>
  <si>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</si>
  <si>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</si>
  <si>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</si>
  <si>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</si>
  <si>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</si>
  <si>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</si>
  <si>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</si>
  <si>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</si>
  <si>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</si>
  <si>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</si>
  <si>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</si>
  <si>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</si>
  <si>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</si>
  <si>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</si>
  <si>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</si>
  <si>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</si>
  <si>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</si>
  <si>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</si>
  <si>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</si>
  <si>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</si>
  <si>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</si>
  <si>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</si>
  <si>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</si>
  <si>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</si>
  <si>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</si>
  <si>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</si>
  <si>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</si>
  <si>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</si>
  <si>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</si>
  <si>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</si>
  <si>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</si>
  <si>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</si>
  <si>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</si>
  <si>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</si>
  <si>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</si>
  <si>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</si>
  <si>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</si>
  <si>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</si>
  <si>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</si>
  <si>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</si>
  <si>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</si>
  <si>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</si>
  <si>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</si>
  <si>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</si>
  <si>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</si>
  <si>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</si>
  <si>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</si>
  <si>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</si>
  <si>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</si>
  <si>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</si>
  <si>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</si>
  <si>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</si>
  <si>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</si>
  <si>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</si>
  <si>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</si>
  <si>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</si>
  <si>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</si>
  <si>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</si>
  <si>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</si>
  <si>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</si>
  <si>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</si>
  <si>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</si>
  <si>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</si>
  <si>
    <t>地块名称</t>
  </si>
  <si>
    <t>地块编号</t>
  </si>
  <si>
    <t>用地性质</t>
  </si>
  <si>
    <t>建设用地面积(㎡)</t>
  </si>
  <si>
    <t>规划建筑面积(㎡)</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</si>
  <si>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</si>
  <si>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</si>
  <si>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</si>
  <si>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</si>
  <si>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</si>
  <si>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</si>
  <si>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</si>
  <si>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</si>
  <si>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</si>
  <si>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</si>
  <si>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</si>
  <si>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</si>
  <si>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</si>
  <si>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 xml:space="preserve"> 工业用地</t>
  </si>
  <si>
    <t xml:space="preserve"> 挂牌</t>
  </si>
  <si>
    <t xml:space="preserve">-- </t>
  </si>
  <si>
    <t xml:space="preserve"> 已成交</t>
  </si>
  <si>
    <t xml:space="preserve"> 北京之泰仓储服务有限公司  </t>
  </si>
  <si>
    <t>2023-06-20 15:00</t>
  </si>
  <si>
    <t>顺义区SY00-2402街区C-30地块(网内6号地)工业用地国有建设用地使用权出让</t>
  </si>
  <si>
    <t xml:space="preserve"> 北京航空发动机维修有限公司  </t>
  </si>
  <si>
    <t>2023-01-04 15:00</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</si>
  <si>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</si>
  <si>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</si>
  <si>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</si>
  <si>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</si>
  <si>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</si>
  <si>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</si>
  <si>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</si>
  <si>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</si>
  <si>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</si>
  <si>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</si>
  <si>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</si>
  <si>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</si>
  <si>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</si>
  <si>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</si>
  <si>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</si>
  <si>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</si>
  <si>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</si>
  <si>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</si>
  <si>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</si>
  <si>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</si>
  <si>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</si>
  <si>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</si>
  <si>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</si>
  <si>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</si>
  <si>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</si>
  <si>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</si>
  <si>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一类工业用地</t>
  </si>
  <si>
    <t xml:space="preserve"> 中电科光电科技有限公司 、中国电子科技集团公司第十一研究所  </t>
  </si>
  <si>
    <t>序号</t>
    <phoneticPr fontId="224" type="noConversion"/>
  </si>
  <si>
    <t>财务费用占总成本比例</t>
    <phoneticPr fontId="224" type="noConversion"/>
  </si>
  <si>
    <t>容积率</t>
    <phoneticPr fontId="224" type="noConversion"/>
  </si>
  <si>
    <t xml:space="preserve"> ≥1.0,≤1.0</t>
    <phoneticPr fontId="224" type="noConversion"/>
  </si>
  <si>
    <t xml:space="preserve"> ≥0.8;≤2</t>
    <phoneticPr fontId="224" type="noConversion"/>
  </si>
  <si>
    <t>涉及19家非住宅拆迁</t>
    <phoneticPr fontId="224" type="noConversion"/>
  </si>
  <si>
    <t xml:space="preserve">（1）该项目涉及拆迁的梁凤英果园地上物共计16棵果树、机井、棚房、铁护网的拆迁工作，已全部完成。
（2）国防光缆通信管道迁改工程正在进行中。
（3）生态林、平原林树木移植工程已竣工，正在办理结算。
</t>
    <phoneticPr fontId="224" type="noConversion"/>
  </si>
  <si>
    <t>涉及拆迁项目包括：10KV线路切改工程、630KVA箱边迁改工程、歌华有线迁改工程以及林木补偿。</t>
    <phoneticPr fontId="224" type="noConversion"/>
  </si>
  <si>
    <t>涉及拆迁总量是2户（北京市良种繁殖场、北京市良种繁殖场文化营村经济合作社）。</t>
    <phoneticPr fontId="224" type="noConversion"/>
  </si>
  <si>
    <t>大兴区旧宫镇万源北路道路工程大兴段</t>
  </si>
  <si>
    <t>大兴</t>
  </si>
  <si>
    <t>收益还原法、基</t>
  </si>
  <si>
    <t>东方厂周边棚户区改造张家湾镇片区国有土地上</t>
  </si>
  <si>
    <t>通州</t>
  </si>
  <si>
    <t>比较法</t>
  </si>
  <si>
    <t>北京居正房地产开发有限公司</t>
  </si>
  <si>
    <t>2019.3.16</t>
  </si>
  <si>
    <t>北京京粮股份有限公司</t>
  </si>
  <si>
    <t>中国邮政储蓄银行运河营业部</t>
  </si>
  <si>
    <t>北京南海子郊野公园项目(瀛海段)非住宅房屋</t>
  </si>
  <si>
    <t>比较法50%</t>
  </si>
  <si>
    <t>广渠路东延(怡乐西路-东六环路)道路工程国有</t>
  </si>
  <si>
    <t>市场比较法</t>
  </si>
  <si>
    <t>数量</t>
    <phoneticPr fontId="224" type="noConversion"/>
  </si>
  <si>
    <t>土地补偿价(元/m)</t>
    <phoneticPr fontId="224" type="noConversion"/>
  </si>
  <si>
    <t>评估报告出具日期</t>
    <phoneticPr fontId="224" type="noConversion"/>
  </si>
  <si>
    <t>使使用权类型</t>
    <phoneticPr fontId="224" type="noConversion"/>
  </si>
  <si>
    <t>评估方法与权重</t>
    <phoneticPr fontId="224" type="noConversion"/>
  </si>
  <si>
    <t>评估结果(元/m²)</t>
    <phoneticPr fontId="224" type="noConversion"/>
  </si>
  <si>
    <t>建筑面积(㎡)</t>
    <phoneticPr fontId="224" type="noConversion"/>
  </si>
  <si>
    <t>土地面积(㎡)</t>
    <phoneticPr fontId="224" type="noConversion"/>
  </si>
  <si>
    <t>征收腾退项目</t>
    <phoneticPr fontId="224" type="noConversion"/>
  </si>
  <si>
    <t>区</t>
    <phoneticPr fontId="224" type="noConversion"/>
  </si>
  <si>
    <t>市场比较法</t>
    <phoneticPr fontId="224" type="noConversion"/>
  </si>
  <si>
    <t>成本逼近法</t>
    <phoneticPr fontId="224" type="noConversion"/>
  </si>
  <si>
    <t>权重</t>
    <phoneticPr fontId="224" type="noConversion"/>
  </si>
  <si>
    <t>单价</t>
    <phoneticPr fontId="224" type="noConversion"/>
  </si>
  <si>
    <t>权重单价</t>
    <phoneticPr fontId="224" type="noConversion"/>
  </si>
  <si>
    <t>总价</t>
    <phoneticPr fontId="224" type="noConversion"/>
  </si>
  <si>
    <t>七级</t>
    <phoneticPr fontId="28" type="noConversion"/>
  </si>
  <si>
    <t>六级</t>
    <phoneticPr fontId="28" type="noConversion"/>
  </si>
  <si>
    <t>八级</t>
    <phoneticPr fontId="224" type="noConversion"/>
  </si>
  <si>
    <t>北京市京粮潞河粮食收储有限公司</t>
    <phoneticPr fontId="224" type="noConversion"/>
  </si>
  <si>
    <t>五级</t>
    <phoneticPr fontId="28" type="noConversion"/>
  </si>
  <si>
    <t>七级</t>
    <phoneticPr fontId="224" type="noConversion"/>
  </si>
  <si>
    <t>五通</t>
  </si>
  <si>
    <t>七通</t>
  </si>
  <si>
    <t>收储</t>
    <phoneticPr fontId="224" type="noConversion"/>
  </si>
  <si>
    <t>征收腾退</t>
    <phoneticPr fontId="224" type="noConversion"/>
  </si>
  <si>
    <t>——</t>
    <phoneticPr fontId="224" type="noConversion"/>
  </si>
  <si>
    <r>
      <t>规划建筑面积</t>
    </r>
    <r>
      <rPr>
        <sz val="10.5"/>
        <color rgb="FF000000"/>
        <rFont val="Arial"/>
        <family val="2"/>
      </rPr>
      <t>(</t>
    </r>
    <r>
      <rPr>
        <sz val="10.5"/>
        <color rgb="FF000000"/>
        <rFont val="FangSong"/>
        <family val="3"/>
        <charset val="134"/>
      </rPr>
      <t>平方米</t>
    </r>
    <r>
      <rPr>
        <sz val="10.5"/>
        <color rgb="FF000000"/>
        <rFont val="Arial"/>
        <family val="2"/>
      </rPr>
      <t>)</t>
    </r>
  </si>
  <si>
    <r>
      <t>顺义区大孙各庄镇总体规划范围内工业用地</t>
    </r>
    <r>
      <rPr>
        <sz val="10.5"/>
        <color rgb="FF000000"/>
        <rFont val="Arial"/>
        <family val="2"/>
      </rPr>
      <t>B01</t>
    </r>
    <r>
      <rPr>
        <sz val="10.5"/>
        <color rgb="FF000000"/>
        <rFont val="FangSong"/>
        <family val="3"/>
        <charset val="134"/>
      </rPr>
      <t>、</t>
    </r>
    <r>
      <rPr>
        <sz val="10.5"/>
        <color rgb="FF000000"/>
        <rFont val="Arial"/>
        <family val="2"/>
      </rPr>
      <t>B02</t>
    </r>
    <r>
      <rPr>
        <sz val="10.5"/>
        <color rgb="FF000000"/>
        <rFont val="FangSong"/>
        <family val="3"/>
        <charset val="134"/>
      </rPr>
      <t>、</t>
    </r>
    <r>
      <rPr>
        <sz val="10.5"/>
        <color rgb="FF000000"/>
        <rFont val="Arial"/>
        <family val="2"/>
      </rPr>
      <t>B03</t>
    </r>
    <r>
      <rPr>
        <sz val="10.5"/>
        <color rgb="FF000000"/>
        <rFont val="FangSong"/>
        <family val="3"/>
        <charset val="134"/>
      </rPr>
      <t>、</t>
    </r>
    <r>
      <rPr>
        <sz val="10.5"/>
        <color rgb="FF000000"/>
        <rFont val="Arial"/>
        <family val="2"/>
      </rPr>
      <t>B04</t>
    </r>
    <r>
      <rPr>
        <sz val="10.5"/>
        <color rgb="FF000000"/>
        <rFont val="FangSong"/>
        <family val="3"/>
        <charset val="134"/>
      </rPr>
      <t>、</t>
    </r>
    <r>
      <rPr>
        <sz val="10.5"/>
        <color rgb="FF000000"/>
        <rFont val="Arial"/>
        <family val="2"/>
      </rPr>
      <t>B05</t>
    </r>
    <r>
      <rPr>
        <sz val="10.5"/>
        <color rgb="FF000000"/>
        <rFont val="FangSong"/>
        <family val="3"/>
        <charset val="134"/>
      </rPr>
      <t>、</t>
    </r>
  </si>
  <si>
    <t>物流用地</t>
  </si>
  <si>
    <r>
      <t>50</t>
    </r>
    <r>
      <rPr>
        <sz val="10.5"/>
        <color rgb="FF000000"/>
        <rFont val="FangSong"/>
        <family val="3"/>
        <charset val="134"/>
      </rPr>
      <t>年</t>
    </r>
  </si>
  <si>
    <r>
      <t>顺义区</t>
    </r>
    <r>
      <rPr>
        <sz val="10.5"/>
        <color rgb="FF000000"/>
        <rFont val="Arial"/>
        <family val="2"/>
      </rPr>
      <t>SY00-2402</t>
    </r>
    <r>
      <rPr>
        <sz val="10.5"/>
        <color rgb="FF000000"/>
        <rFont val="FangSong"/>
        <family val="3"/>
        <charset val="134"/>
      </rPr>
      <t>街区</t>
    </r>
    <r>
      <rPr>
        <sz val="10.5"/>
        <color rgb="FF000000"/>
        <rFont val="Arial"/>
        <family val="2"/>
      </rPr>
      <t>C-30</t>
    </r>
    <r>
      <rPr>
        <sz val="10.5"/>
        <color rgb="FF000000"/>
        <rFont val="FangSong"/>
        <family val="3"/>
        <charset val="134"/>
      </rPr>
      <t>地块</t>
    </r>
    <r>
      <rPr>
        <sz val="10.5"/>
        <color rgb="FF000000"/>
        <rFont val="Arial"/>
        <family val="2"/>
      </rPr>
      <t>(</t>
    </r>
    <r>
      <rPr>
        <sz val="10.5"/>
        <color rgb="FF000000"/>
        <rFont val="FangSong"/>
        <family val="3"/>
        <charset val="134"/>
      </rPr>
      <t>网内</t>
    </r>
    <r>
      <rPr>
        <sz val="10.5"/>
        <color rgb="FF000000"/>
        <rFont val="Arial"/>
        <family val="2"/>
      </rPr>
      <t>6</t>
    </r>
    <r>
      <rPr>
        <sz val="10.5"/>
        <color rgb="FF000000"/>
        <rFont val="FangSong"/>
        <family val="3"/>
        <charset val="134"/>
      </rPr>
      <t>号地</t>
    </r>
    <r>
      <rPr>
        <sz val="10.5"/>
        <color rgb="FF000000"/>
        <rFont val="Arial"/>
        <family val="2"/>
      </rPr>
      <t>)</t>
    </r>
    <r>
      <rPr>
        <sz val="10.5"/>
        <color rgb="FF000000"/>
        <rFont val="FangSong"/>
        <family val="3"/>
        <charset val="134"/>
      </rPr>
      <t>工业用地国有建设用地使用权出</t>
    </r>
  </si>
  <si>
    <r>
      <t>≤</t>
    </r>
    <r>
      <rPr>
        <sz val="10.5"/>
        <color rgb="FF000000"/>
        <rFont val="Arial"/>
        <family val="2"/>
      </rPr>
      <t>1.0</t>
    </r>
  </si>
  <si>
    <r>
      <t>100101(</t>
    </r>
    <r>
      <rPr>
        <sz val="10.5"/>
        <color rgb="FF000000"/>
        <rFont val="FangSong"/>
        <family val="3"/>
        <charset val="134"/>
      </rPr>
      <t>原</t>
    </r>
    <r>
      <rPr>
        <sz val="10.5"/>
        <color rgb="FF000000"/>
        <rFont val="Arial"/>
        <family val="2"/>
      </rPr>
      <t>M1)</t>
    </r>
    <r>
      <rPr>
        <sz val="10.5"/>
        <color rgb="FF000000"/>
        <rFont val="FangSong"/>
        <family val="3"/>
        <charset val="134"/>
      </rPr>
      <t>工业用地</t>
    </r>
  </si>
  <si>
    <r>
      <t>20</t>
    </r>
    <r>
      <rPr>
        <sz val="10.5"/>
        <color rgb="FF000000"/>
        <rFont val="FangSong"/>
        <family val="3"/>
        <charset val="134"/>
      </rPr>
      <t>年</t>
    </r>
  </si>
  <si>
    <r>
      <t>北京市顺义临空国际（科创功能区）</t>
    </r>
    <r>
      <rPr>
        <sz val="10.5"/>
        <color rgb="FF000000"/>
        <rFont val="Arial"/>
        <family val="2"/>
      </rPr>
      <t>6-1-1</t>
    </r>
    <r>
      <rPr>
        <sz val="10.5"/>
        <color rgb="FF000000"/>
        <rFont val="FangSong"/>
        <family val="3"/>
        <charset val="134"/>
      </rPr>
      <t>地块</t>
    </r>
    <r>
      <rPr>
        <sz val="10.5"/>
        <color rgb="FF000000"/>
        <rFont val="Arial"/>
        <family val="2"/>
      </rPr>
      <t xml:space="preserve"> M1</t>
    </r>
    <r>
      <rPr>
        <sz val="10.5"/>
        <color rgb="FF000000"/>
        <rFont val="FangSong"/>
        <family val="3"/>
        <charset val="134"/>
      </rPr>
      <t>一类工业用地项目</t>
    </r>
  </si>
  <si>
    <r>
      <t>≥</t>
    </r>
    <r>
      <rPr>
        <sz val="10.5"/>
        <color rgb="FF000000"/>
        <rFont val="Arial"/>
        <family val="2"/>
      </rPr>
      <t>0.8;</t>
    </r>
    <r>
      <rPr>
        <sz val="10.5"/>
        <color rgb="FF000000"/>
        <rFont val="FangSong"/>
        <family val="3"/>
        <charset val="134"/>
      </rPr>
      <t>≤</t>
    </r>
    <r>
      <rPr>
        <sz val="10.5"/>
        <color rgb="FF000000"/>
        <rFont val="Arial"/>
        <family val="2"/>
      </rPr>
      <t>2</t>
    </r>
  </si>
  <si>
    <r>
      <t>M1</t>
    </r>
    <r>
      <rPr>
        <sz val="10.5"/>
        <color rgb="FF000000"/>
        <rFont val="FangSong"/>
        <family val="3"/>
        <charset val="134"/>
      </rPr>
      <t>一类工业用地</t>
    </r>
  </si>
  <si>
    <r>
      <t>顺义区马坡聚源工业区</t>
    </r>
    <r>
      <rPr>
        <sz val="10.5"/>
        <color rgb="FF000000"/>
        <rFont val="Arial"/>
        <family val="2"/>
      </rPr>
      <t>A02-2-2</t>
    </r>
    <r>
      <rPr>
        <sz val="10.5"/>
        <color rgb="FF000000"/>
        <rFont val="FangSong"/>
        <family val="3"/>
        <charset val="134"/>
      </rPr>
      <t>地块</t>
    </r>
    <r>
      <rPr>
        <sz val="10.5"/>
        <color rgb="FF000000"/>
        <rFont val="Arial"/>
        <family val="2"/>
      </rPr>
      <t>M1</t>
    </r>
    <r>
      <rPr>
        <sz val="10.5"/>
        <color rgb="FF000000"/>
        <rFont val="FangSong"/>
        <family val="3"/>
        <charset val="134"/>
      </rPr>
      <t>一类</t>
    </r>
    <r>
      <rPr>
        <sz val="10.5"/>
        <color rgb="FF000000"/>
        <rFont val="Arial"/>
        <family val="2"/>
      </rPr>
      <t xml:space="preserve"> </t>
    </r>
    <r>
      <rPr>
        <sz val="10.5"/>
        <color rgb="FF000000"/>
        <rFont val="FangSong"/>
        <family val="3"/>
        <charset val="134"/>
      </rPr>
      <t>工业项目</t>
    </r>
  </si>
  <si>
    <r>
      <t>≤</t>
    </r>
    <r>
      <rPr>
        <sz val="10.5"/>
        <color rgb="FF000000"/>
        <rFont val="Arial"/>
        <family val="2"/>
      </rPr>
      <t>1.6</t>
    </r>
  </si>
  <si>
    <r>
      <t>顺义新城第</t>
    </r>
    <r>
      <rPr>
        <sz val="10.5"/>
        <color rgb="FF000000"/>
        <rFont val="Arial"/>
        <family val="2"/>
      </rPr>
      <t>30</t>
    </r>
    <r>
      <rPr>
        <sz val="10.5"/>
        <color rgb="FF000000"/>
        <rFont val="FangSong"/>
        <family val="3"/>
        <charset val="134"/>
      </rPr>
      <t>街区</t>
    </r>
    <r>
      <rPr>
        <sz val="10.5"/>
        <color rgb="FF000000"/>
        <rFont val="Arial"/>
        <family val="2"/>
      </rPr>
      <t>30-27-02</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</si>
  <si>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1.3</t>
    </r>
  </si>
  <si>
    <r>
      <t>顺义新城</t>
    </r>
    <r>
      <rPr>
        <sz val="10.5"/>
        <color rgb="FF000000"/>
        <rFont val="Arial"/>
        <family val="2"/>
      </rPr>
      <t>3401</t>
    </r>
    <r>
      <rPr>
        <sz val="10.5"/>
        <color rgb="FF000000"/>
        <rFont val="FangSong"/>
        <family val="3"/>
        <charset val="134"/>
      </rPr>
      <t>街区（高丽营镇中关村科技园区顺义园三代半产业基地）</t>
    </r>
    <r>
      <rPr>
        <sz val="10.5"/>
        <color rgb="FF000000"/>
        <rFont val="Arial"/>
        <family val="2"/>
      </rPr>
      <t>2</t>
    </r>
    <r>
      <rPr>
        <sz val="10.5"/>
        <color rgb="FF000000"/>
        <rFont val="FangSong"/>
        <family val="3"/>
        <charset val="134"/>
      </rPr>
      <t>号地</t>
    </r>
    <r>
      <rPr>
        <sz val="10.5"/>
        <color rgb="FF000000"/>
        <rFont val="Arial"/>
        <family val="2"/>
      </rPr>
      <t xml:space="preserve"> 2-1</t>
    </r>
    <r>
      <rPr>
        <sz val="10.5"/>
        <color rgb="FF000000"/>
        <rFont val="FangSong"/>
        <family val="3"/>
        <charset val="134"/>
      </rPr>
      <t>（东区）地块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</si>
  <si>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1.5</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</si>
  <si>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3-2-3(3</t>
    </r>
    <r>
      <rPr>
        <sz val="10.5"/>
        <color rgb="FF000000"/>
        <rFont val="FangSong"/>
        <family val="3"/>
        <charset val="134"/>
      </rPr>
      <t>号地</t>
    </r>
    <r>
      <rPr>
        <sz val="10.5"/>
        <color rgb="FF000000"/>
        <rFont val="Arial"/>
        <family val="2"/>
      </rPr>
      <t>B)</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</si>
  <si>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3-2-4</t>
    </r>
    <r>
      <rPr>
        <sz val="10.5"/>
        <color rgb="FF000000"/>
        <rFont val="FangSong"/>
        <family val="3"/>
        <charset val="134"/>
      </rPr>
      <t>（北区）（</t>
    </r>
    <r>
      <rPr>
        <sz val="10.5"/>
        <color rgb="FF000000"/>
        <rFont val="Arial"/>
        <family val="2"/>
      </rPr>
      <t>3</t>
    </r>
    <r>
      <rPr>
        <sz val="10.5"/>
        <color rgb="FF000000"/>
        <rFont val="FangSong"/>
        <family val="3"/>
        <charset val="134"/>
      </rPr>
      <t>号地</t>
    </r>
    <r>
      <rPr>
        <sz val="10.5"/>
        <color rgb="FF000000"/>
        <rFont val="Arial"/>
        <family val="2"/>
      </rPr>
      <t>A</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</si>
  <si>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t>地面单价（元/平方米）</t>
    <phoneticPr fontId="224" type="noConversion"/>
  </si>
  <si>
    <t>期日修正后</t>
    <phoneticPr fontId="224" type="noConversion"/>
  </si>
  <si>
    <t>期日修正前</t>
    <phoneticPr fontId="224" type="noConversion"/>
  </si>
  <si>
    <t>基础设施情况</t>
    <phoneticPr fontId="224" type="noConversion"/>
  </si>
  <si>
    <t>(二)评估技术路线及估价方法</t>
  </si>
  <si>
    <t>1.市场比较法</t>
  </si>
  <si>
    <t>案例情况统计表</t>
  </si>
  <si>
    <t>案例名称</t>
  </si>
  <si>
    <t>北方智能微机电集团有限公司</t>
  </si>
  <si>
    <t>北京市通州区农业机械公司</t>
  </si>
  <si>
    <t>通州区永顺镇小圣庙村北</t>
  </si>
  <si>
    <t>数据来源</t>
  </si>
  <si>
    <t>通州区房屋征收事务中心</t>
  </si>
  <si>
    <t>收回</t>
  </si>
  <si>
    <t>土地使用权类型</t>
  </si>
  <si>
    <t>无期限</t>
  </si>
  <si>
    <t>宗地面积(m)</t>
  </si>
  <si>
    <t>地面交易价格(元/m)</t>
  </si>
  <si>
    <t>地面交易价格(万元/亩)</t>
  </si>
  <si>
    <t>市场比较法最终价格(元/m)</t>
  </si>
  <si>
    <t>市场比较法最终价格(万元/亩)</t>
  </si>
  <si>
    <t>位置</t>
    <phoneticPr fontId="224" type="noConversion"/>
  </si>
  <si>
    <t>交易日期</t>
    <phoneticPr fontId="224" type="noConversion"/>
  </si>
  <si>
    <t>交易方式</t>
    <phoneticPr fontId="224" type="noConversion"/>
  </si>
  <si>
    <t>收回</t>
    <phoneticPr fontId="224" type="noConversion"/>
  </si>
  <si>
    <t>土地用途</t>
    <phoneticPr fontId="224" type="noConversion"/>
  </si>
  <si>
    <t>土地剩余使用年限(年)</t>
    <phoneticPr fontId="224" type="noConversion"/>
  </si>
  <si>
    <t>楼面交易价格(元/m)</t>
    <phoneticPr fontId="224" type="noConversion"/>
  </si>
  <si>
    <t>设定容积率</t>
    <phoneticPr fontId="224" type="noConversion"/>
  </si>
  <si>
    <t>五级</t>
    <phoneticPr fontId="224" type="noConversion"/>
  </si>
  <si>
    <t>通州区张家湾镇张辛庄村</t>
    <phoneticPr fontId="224" type="noConversion"/>
  </si>
  <si>
    <t>北京金通资产经营管理公司</t>
    <phoneticPr fontId="224" type="noConversion"/>
  </si>
  <si>
    <t>扣除增值收益率单价</t>
  </si>
  <si>
    <t>权重</t>
  </si>
  <si>
    <t>单价</t>
  </si>
  <si>
    <t>亩</t>
  </si>
  <si>
    <t>成本逼近</t>
  </si>
  <si>
    <t>项目名</t>
    <phoneticPr fontId="224" type="noConversion"/>
  </si>
  <si>
    <t>土地使用权类型</t>
    <phoneticPr fontId="224" type="noConversion"/>
  </si>
  <si>
    <t>产权人</t>
    <phoneticPr fontId="224" type="noConversion"/>
  </si>
  <si>
    <t>ppt中案例</t>
    <phoneticPr fontId="224" type="noConversion"/>
  </si>
  <si>
    <t>北京金鹰铜业有限责任公司</t>
    <phoneticPr fontId="224" type="noConversion"/>
  </si>
  <si>
    <t>收购</t>
    <phoneticPr fontId="224" type="noConversion"/>
  </si>
  <si>
    <t>建筑面积</t>
    <phoneticPr fontId="224" type="noConversion"/>
  </si>
  <si>
    <t>地面价</t>
    <phoneticPr fontId="224" type="noConversion"/>
  </si>
  <si>
    <t>划拨</t>
    <phoneticPr fontId="224" type="noConversion"/>
  </si>
  <si>
    <t>通州区梨园镇小街村</t>
    <phoneticPr fontId="224" type="noConversion"/>
  </si>
  <si>
    <t>交易/评估日期</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</si>
  <si>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</si>
  <si>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</si>
  <si>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</si>
  <si>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京港</t>
    <phoneticPr fontId="224" type="noConversion"/>
  </si>
  <si>
    <t>通州区张家湾镇西定村</t>
    <phoneticPr fontId="224" type="noConversion"/>
  </si>
  <si>
    <t>通州区张家湾镇光华路26号</t>
    <phoneticPr fontId="224" type="noConversion"/>
  </si>
  <si>
    <t>中谷置地置业(北京)有限公司</t>
    <phoneticPr fontId="224" type="noConversion"/>
  </si>
  <si>
    <t>北京丰凯置业有限公司</t>
    <phoneticPr fontId="224" type="noConversion"/>
  </si>
  <si>
    <t>仓储</t>
    <phoneticPr fontId="224" type="noConversion"/>
  </si>
  <si>
    <t>张董</t>
    <phoneticPr fontId="224" type="noConversion"/>
  </si>
  <si>
    <t>福建亚通新材料科技股份有限公司</t>
    <phoneticPr fontId="224" type="noConversion"/>
  </si>
  <si>
    <t>北京市海通汽车修理厂</t>
    <phoneticPr fontId="224" type="noConversion"/>
  </si>
  <si>
    <t>通州区张家湾镇张辛庄村西</t>
    <phoneticPr fontId="224" type="noConversion"/>
  </si>
  <si>
    <t>通州区张家湾镇张辛庄村南2号</t>
    <phoneticPr fontId="224" type="noConversion"/>
  </si>
  <si>
    <t>征收</t>
    <phoneticPr fontId="224" type="noConversion"/>
  </si>
  <si>
    <r>
      <t>2019/2/18、</t>
    </r>
    <r>
      <rPr>
        <sz val="11"/>
        <color theme="1"/>
        <rFont val="宋体"/>
        <family val="3"/>
        <charset val="134"/>
        <scheme val="minor"/>
      </rPr>
      <t>2019/3/1</t>
    </r>
    <phoneticPr fontId="224" type="noConversion"/>
  </si>
  <si>
    <t>张董、ppt中案例</t>
    <phoneticPr fontId="224" type="noConversion"/>
  </si>
  <si>
    <t>六通一平</t>
    <phoneticPr fontId="28" type="noConversion"/>
  </si>
  <si>
    <t>七通一平</t>
    <phoneticPr fontId="28" type="noConversion"/>
  </si>
  <si>
    <t>ppt中案例、金地</t>
    <phoneticPr fontId="224" type="noConversion"/>
  </si>
  <si>
    <t>ppt结果、金地</t>
    <phoneticPr fontId="224" type="noConversion"/>
  </si>
  <si>
    <t>剩余使用年限</t>
    <phoneticPr fontId="224" type="noConversion"/>
  </si>
  <si>
    <t>土地终止日期</t>
    <phoneticPr fontId="224" type="noConversion"/>
  </si>
  <si>
    <t>年期修正系数</t>
    <phoneticPr fontId="224" type="noConversion"/>
  </si>
  <si>
    <t>划拨</t>
    <phoneticPr fontId="224" type="noConversion"/>
  </si>
  <si>
    <t>出让</t>
    <phoneticPr fontId="224" type="noConversion"/>
  </si>
  <si>
    <t>评价因素</t>
  </si>
  <si>
    <t>标准分值</t>
  </si>
  <si>
    <t>打分考虑因素</t>
  </si>
  <si>
    <t>估价方法的适用性</t>
  </si>
  <si>
    <t>数据可靠程度</t>
  </si>
  <si>
    <t>估价方法所要求的估价资料的完整性</t>
  </si>
  <si>
    <t>参数选取的客观性</t>
  </si>
  <si>
    <t>参数确定的时效性</t>
  </si>
  <si>
    <t>估价结果的现势性</t>
  </si>
  <si>
    <t>分值</t>
  </si>
  <si>
    <t>-</t>
  </si>
  <si>
    <t>工业用途</t>
    <phoneticPr fontId="224" type="noConversion"/>
  </si>
  <si>
    <t>剩余（增值收益扣减）法</t>
    <phoneticPr fontId="224" type="noConversion"/>
  </si>
  <si>
    <r>
      <t>1.</t>
    </r>
    <r>
      <rPr>
        <sz val="9"/>
        <rFont val="华文细黑"/>
        <family val="3"/>
        <charset val="134"/>
      </rPr>
      <t>估价方法选取分析充分、合理，取</t>
    </r>
    <r>
      <rPr>
        <sz val="9"/>
        <rFont val="Arial"/>
        <family val="2"/>
      </rPr>
      <t>20</t>
    </r>
    <r>
      <rPr>
        <sz val="9"/>
        <rFont val="华文细黑"/>
        <family val="3"/>
        <charset val="134"/>
      </rPr>
      <t>分；</t>
    </r>
    <phoneticPr fontId="224" type="noConversion"/>
  </si>
  <si>
    <r>
      <t>2.</t>
    </r>
    <r>
      <rPr>
        <sz val="9"/>
        <rFont val="华文细黑"/>
        <family val="3"/>
        <charset val="134"/>
      </rPr>
      <t>估价方法选取分析较充分、合理，取</t>
    </r>
    <r>
      <rPr>
        <sz val="9"/>
        <rFont val="Arial"/>
        <family val="2"/>
      </rPr>
      <t>15</t>
    </r>
    <r>
      <rPr>
        <sz val="9"/>
        <rFont val="华文细黑"/>
        <family val="3"/>
        <charset val="134"/>
      </rPr>
      <t>分；</t>
    </r>
    <phoneticPr fontId="224" type="noConversion"/>
  </si>
  <si>
    <r>
      <t>3.</t>
    </r>
    <r>
      <rPr>
        <sz val="9"/>
        <rFont val="华文细黑"/>
        <family val="3"/>
        <charset val="134"/>
      </rPr>
      <t>估价方法选取分析较不充分，取</t>
    </r>
    <r>
      <rPr>
        <sz val="9"/>
        <rFont val="Arial"/>
        <family val="2"/>
      </rPr>
      <t>5</t>
    </r>
    <r>
      <rPr>
        <sz val="9"/>
        <rFont val="华文细黑"/>
        <family val="3"/>
        <charset val="134"/>
      </rPr>
      <t>分；</t>
    </r>
    <phoneticPr fontId="224" type="noConversion"/>
  </si>
  <si>
    <r>
      <t>1.</t>
    </r>
    <r>
      <rPr>
        <sz val="9"/>
        <rFont val="华文细黑"/>
        <family val="3"/>
        <charset val="134"/>
      </rPr>
      <t>估价资料完整，来源依据充分，取</t>
    </r>
    <r>
      <rPr>
        <sz val="9"/>
        <rFont val="Arial"/>
        <family val="2"/>
      </rPr>
      <t>5</t>
    </r>
    <r>
      <rPr>
        <sz val="9"/>
        <rFont val="华文细黑"/>
        <family val="3"/>
        <charset val="134"/>
      </rPr>
      <t>分；</t>
    </r>
    <phoneticPr fontId="224" type="noConversion"/>
  </si>
  <si>
    <r>
      <t>2.</t>
    </r>
    <r>
      <rPr>
        <sz val="9"/>
        <rFont val="华文细黑"/>
        <family val="3"/>
        <charset val="134"/>
      </rPr>
      <t>估价资料有欠缺，来源依据较不充分，取</t>
    </r>
    <r>
      <rPr>
        <sz val="9"/>
        <rFont val="Arial"/>
        <family val="2"/>
      </rPr>
      <t>3</t>
    </r>
    <r>
      <rPr>
        <sz val="9"/>
        <rFont val="华文细黑"/>
        <family val="3"/>
        <charset val="134"/>
      </rPr>
      <t>分；</t>
    </r>
    <phoneticPr fontId="224" type="noConversion"/>
  </si>
  <si>
    <r>
      <t>1.</t>
    </r>
    <r>
      <rPr>
        <sz val="9"/>
        <rFont val="华文细黑"/>
        <family val="3"/>
        <charset val="134"/>
      </rPr>
      <t>参数从市场上获取，或从权威机构发布的信息上获取，取</t>
    </r>
    <r>
      <rPr>
        <sz val="9"/>
        <rFont val="Arial"/>
        <family val="2"/>
      </rPr>
      <t>5</t>
    </r>
    <r>
      <rPr>
        <sz val="9"/>
        <rFont val="华文细黑"/>
        <family val="3"/>
        <charset val="134"/>
      </rPr>
      <t>分；</t>
    </r>
    <phoneticPr fontId="224" type="noConversion"/>
  </si>
  <si>
    <r>
      <t>2.</t>
    </r>
    <r>
      <rPr>
        <sz val="9"/>
        <rFont val="华文细黑"/>
        <family val="3"/>
        <charset val="134"/>
      </rPr>
      <t>部分参数为自行分析取得，理由较充分，取</t>
    </r>
    <r>
      <rPr>
        <sz val="9"/>
        <rFont val="Arial"/>
        <family val="2"/>
      </rPr>
      <t>3</t>
    </r>
    <r>
      <rPr>
        <sz val="9"/>
        <rFont val="华文细黑"/>
        <family val="3"/>
        <charset val="134"/>
      </rPr>
      <t>分；</t>
    </r>
    <phoneticPr fontId="224" type="noConversion"/>
  </si>
  <si>
    <r>
      <t>1.</t>
    </r>
    <r>
      <rPr>
        <sz val="9"/>
        <rFont val="华文细黑"/>
        <family val="3"/>
        <charset val="134"/>
      </rPr>
      <t>参数在规定的时效范围内，且距价值时点未超过</t>
    </r>
    <r>
      <rPr>
        <sz val="9"/>
        <rFont val="Arial"/>
        <family val="2"/>
      </rPr>
      <t>1</t>
    </r>
    <r>
      <rPr>
        <sz val="9"/>
        <rFont val="华文细黑"/>
        <family val="3"/>
        <charset val="134"/>
      </rPr>
      <t>年，取</t>
    </r>
    <r>
      <rPr>
        <sz val="9"/>
        <rFont val="Arial"/>
        <family val="2"/>
      </rPr>
      <t>5</t>
    </r>
    <r>
      <rPr>
        <sz val="9"/>
        <rFont val="华文细黑"/>
        <family val="3"/>
        <charset val="134"/>
      </rPr>
      <t>分；</t>
    </r>
    <phoneticPr fontId="224" type="noConversion"/>
  </si>
  <si>
    <r>
      <t>2.</t>
    </r>
    <r>
      <rPr>
        <sz val="9"/>
        <rFont val="华文细黑"/>
        <family val="3"/>
        <charset val="134"/>
      </rPr>
      <t>参数在规定的时效范围内，但距价值时点超过</t>
    </r>
    <r>
      <rPr>
        <sz val="9"/>
        <rFont val="Arial"/>
        <family val="2"/>
      </rPr>
      <t>1</t>
    </r>
    <r>
      <rPr>
        <sz val="9"/>
        <rFont val="华文细黑"/>
        <family val="3"/>
        <charset val="134"/>
      </rPr>
      <t>年未超过</t>
    </r>
    <r>
      <rPr>
        <sz val="9"/>
        <rFont val="Arial"/>
        <family val="2"/>
      </rPr>
      <t>3</t>
    </r>
    <r>
      <rPr>
        <sz val="9"/>
        <rFont val="华文细黑"/>
        <family val="3"/>
        <charset val="134"/>
      </rPr>
      <t>年，取</t>
    </r>
    <r>
      <rPr>
        <sz val="9"/>
        <rFont val="Arial"/>
        <family val="2"/>
      </rPr>
      <t>3</t>
    </r>
    <r>
      <rPr>
        <sz val="9"/>
        <rFont val="华文细黑"/>
        <family val="3"/>
        <charset val="134"/>
      </rPr>
      <t>分；</t>
    </r>
    <phoneticPr fontId="224" type="noConversion"/>
  </si>
  <si>
    <r>
      <t>1</t>
    </r>
    <r>
      <rPr>
        <sz val="9"/>
        <rFont val="华文细黑"/>
        <family val="3"/>
        <charset val="134"/>
      </rPr>
      <t>、估价结果与同类用途房地产市场价格水平一致，且考虑了房地产市场发展趋势，取</t>
    </r>
    <r>
      <rPr>
        <sz val="9"/>
        <rFont val="Arial"/>
        <family val="2"/>
      </rPr>
      <t>15</t>
    </r>
    <r>
      <rPr>
        <sz val="9"/>
        <rFont val="华文细黑"/>
        <family val="3"/>
        <charset val="134"/>
      </rPr>
      <t>分；</t>
    </r>
    <phoneticPr fontId="224" type="noConversion"/>
  </si>
  <si>
    <r>
      <t>2.</t>
    </r>
    <r>
      <rPr>
        <sz val="9"/>
        <rFont val="华文细黑"/>
        <family val="3"/>
        <charset val="134"/>
      </rPr>
      <t>估价结果与同类用途房地产价格水平基本一致，且适当考虑了房地产市场发展趋势，取</t>
    </r>
    <r>
      <rPr>
        <sz val="9"/>
        <rFont val="Arial"/>
        <family val="2"/>
      </rPr>
      <t>10</t>
    </r>
    <r>
      <rPr>
        <sz val="9"/>
        <rFont val="华文细黑"/>
        <family val="3"/>
        <charset val="134"/>
      </rPr>
      <t>分；</t>
    </r>
    <phoneticPr fontId="224" type="noConversion"/>
  </si>
  <si>
    <r>
      <t>3.</t>
    </r>
    <r>
      <rPr>
        <sz val="9"/>
        <rFont val="华文细黑"/>
        <family val="3"/>
        <charset val="134"/>
      </rPr>
      <t>估价结果与同类用途房地产价格水平有一定差距，且适当考虑房地产市场发展趋势，取</t>
    </r>
    <r>
      <rPr>
        <sz val="9"/>
        <rFont val="Arial"/>
        <family val="2"/>
      </rPr>
      <t>5</t>
    </r>
    <r>
      <rPr>
        <sz val="9"/>
        <rFont val="华文细黑"/>
        <family val="3"/>
        <charset val="134"/>
      </rPr>
      <t>分；</t>
    </r>
    <phoneticPr fontId="224" type="noConversion"/>
  </si>
  <si>
    <t>门头沟区门头沟路47号-7</t>
    <phoneticPr fontId="224" type="noConversion"/>
  </si>
  <si>
    <t>北京九龙华源实业公司</t>
    <phoneticPr fontId="224" type="noConversion"/>
  </si>
  <si>
    <t>划拨</t>
    <phoneticPr fontId="224" type="noConversion"/>
  </si>
  <si>
    <t>工业</t>
    <phoneticPr fontId="224" type="noConversion"/>
  </si>
  <si>
    <t>报告</t>
    <phoneticPr fontId="224" type="noConversion"/>
  </si>
  <si>
    <t>2018-4</t>
    <phoneticPr fontId="224" type="noConversion"/>
  </si>
  <si>
    <t>2018-3</t>
    <phoneticPr fontId="224" type="noConversion"/>
  </si>
  <si>
    <t>收储</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</si>
</sst>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
      <sz val="10.5"/>
      <color rgb="FF000000"/>
      <name val="FangSong"/>
      <family val="3"/>
      <charset val="134"/>
    </font>
    <font>
      <sz val="10.5"/>
      <color rgb="FF000000"/>
      <name val="Arial"/>
      <family val="2"/>
    </font>
    <font>
      <sz val="11"/>
      <color theme="1"/>
      <name val="FangSong"/>
      <family val="3"/>
      <charset val="134"/>
    </font>
    <font>
      <sz val="9"/>
      <name val="华文细黑"/>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2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141" fillId="0" borderId="0" xfId="0" applyFont="1" applyAlignment="1">
      <alignment horizontal="center" vertical="center"/>
    </xf>
    <xf numFmtId="0" fontId="0" fillId="0" borderId="0" xfId="0" applyAlignment="1">
      <alignment horizontal="center"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pplyAlignment="1"/>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97" fontId="305" fillId="28" borderId="174" xfId="0" applyNumberFormat="1" applyFont="1" applyFill="1" applyBorder="1" applyAlignment="1">
      <alignment horizontal="center" vertical="center" wrapText="1" readingOrder="1"/>
    </xf>
    <xf numFmtId="9" fontId="0" fillId="0" borderId="2" xfId="0" applyNumberFormat="1" applyBorder="1" applyAlignment="1">
      <alignment horizontal="center" vertical="center"/>
    </xf>
    <xf numFmtId="57" fontId="0" fillId="0" borderId="2" xfId="0" applyNumberFormat="1" applyBorder="1" applyAlignment="1">
      <alignment horizontal="center" vertical="center"/>
    </xf>
    <xf numFmtId="0" fontId="141" fillId="6" borderId="2" xfId="1" applyFill="1" applyBorder="1" applyAlignment="1">
      <alignment horizontal="center" vertical="center"/>
    </xf>
    <xf numFmtId="0" fontId="141" fillId="0" borderId="0" xfId="0" applyFont="1" applyAlignment="1">
      <alignment horizontal="left" vertical="center"/>
    </xf>
    <xf numFmtId="0" fontId="0" fillId="6" borderId="0" xfId="0" applyFill="1" applyAlignment="1">
      <alignment horizontal="left" vertical="center"/>
    </xf>
    <xf numFmtId="14" fontId="0" fillId="6" borderId="0" xfId="0" applyNumberFormat="1" applyFill="1" applyAlignment="1">
      <alignment horizontal="left" vertical="center"/>
    </xf>
    <xf numFmtId="0" fontId="67" fillId="5" borderId="42" xfId="0" applyNumberFormat="1" applyFont="1" applyFill="1" applyBorder="1" applyAlignment="1" applyProtection="1">
      <alignment horizontal="center" vertical="center" wrapText="1"/>
      <protection locked="0"/>
    </xf>
    <xf numFmtId="0" fontId="232" fillId="12" borderId="128" xfId="13" applyFont="1" applyFill="1" applyBorder="1" applyAlignment="1" applyProtection="1">
      <alignment horizontal="left" vertical="center" wrapText="1"/>
      <protection locked="0"/>
    </xf>
    <xf numFmtId="0" fontId="232" fillId="12" borderId="128" xfId="10" applyFont="1" applyFill="1" applyBorder="1" applyAlignment="1" applyProtection="1">
      <alignment horizontal="left" vertical="center" wrapText="1"/>
      <protection locked="0"/>
    </xf>
    <xf numFmtId="0" fontId="232" fillId="11" borderId="121" xfId="10" applyFont="1" applyFill="1" applyBorder="1" applyAlignment="1" applyProtection="1">
      <alignment horizontal="left" vertical="center" wrapText="1"/>
      <protection locked="0"/>
    </xf>
    <xf numFmtId="0" fontId="141" fillId="6" borderId="0" xfId="0" applyFont="1" applyFill="1" applyAlignment="1">
      <alignment horizontal="left" vertical="center"/>
    </xf>
    <xf numFmtId="0" fontId="77" fillId="0" borderId="2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1" fillId="8" borderId="2" xfId="0" applyFont="1" applyFill="1" applyBorder="1" applyAlignment="1">
      <alignment horizontal="left" vertical="center" wrapText="1"/>
    </xf>
    <xf numFmtId="0" fontId="0" fillId="8" borderId="2" xfId="0" applyFill="1" applyBorder="1" applyAlignment="1">
      <alignment horizontal="left" vertical="center" wrapText="1"/>
    </xf>
    <xf numFmtId="14" fontId="0" fillId="8" borderId="2" xfId="0" applyNumberFormat="1" applyFill="1" applyBorder="1" applyAlignment="1">
      <alignment horizontal="left" vertical="center" wrapText="1"/>
    </xf>
    <xf numFmtId="0" fontId="0" fillId="8" borderId="2" xfId="0" applyFill="1" applyBorder="1">
      <alignment vertical="center"/>
    </xf>
    <xf numFmtId="0" fontId="141" fillId="8" borderId="2" xfId="0" applyFont="1" applyFill="1" applyBorder="1" applyAlignment="1">
      <alignment horizontal="center" vertical="center"/>
    </xf>
    <xf numFmtId="9" fontId="0" fillId="8" borderId="2" xfId="0" applyNumberFormat="1" applyFill="1" applyBorder="1" applyAlignment="1">
      <alignment horizontal="center" vertical="center"/>
    </xf>
    <xf numFmtId="57" fontId="0" fillId="8" borderId="2" xfId="0" applyNumberFormat="1" applyFill="1" applyBorder="1" applyAlignment="1">
      <alignment horizontal="center" vertical="center"/>
    </xf>
    <xf numFmtId="0" fontId="0" fillId="8" borderId="0" xfId="0" applyFill="1" applyAlignment="1">
      <alignment horizontal="center" vertical="center"/>
    </xf>
    <xf numFmtId="0" fontId="0" fillId="31" borderId="2" xfId="0" applyFill="1" applyBorder="1">
      <alignment vertical="center"/>
    </xf>
    <xf numFmtId="0" fontId="141" fillId="31" borderId="2" xfId="0" applyFont="1" applyFill="1" applyBorder="1" applyAlignment="1">
      <alignment horizontal="center" vertical="center"/>
    </xf>
    <xf numFmtId="9" fontId="0" fillId="31" borderId="2" xfId="0" applyNumberFormat="1" applyFill="1" applyBorder="1" applyAlignment="1">
      <alignment horizontal="center" vertical="center"/>
    </xf>
    <xf numFmtId="57" fontId="0" fillId="31" borderId="2" xfId="0" applyNumberFormat="1" applyFill="1" applyBorder="1" applyAlignment="1">
      <alignment horizontal="center" vertical="center"/>
    </xf>
    <xf numFmtId="0" fontId="0" fillId="31" borderId="0" xfId="0" applyFill="1" applyAlignment="1">
      <alignment horizontal="center" vertical="center"/>
    </xf>
    <xf numFmtId="0" fontId="0" fillId="31" borderId="0" xfId="0" applyFill="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312" fillId="0" borderId="2" xfId="0" applyFont="1" applyBorder="1" applyAlignment="1">
      <alignment horizontal="center" vertical="center" wrapText="1"/>
    </xf>
    <xf numFmtId="0" fontId="313" fillId="0" borderId="2" xfId="0" applyFont="1" applyBorder="1" applyAlignment="1">
      <alignment horizontal="center" vertical="center" wrapText="1"/>
    </xf>
    <xf numFmtId="0" fontId="305" fillId="0" borderId="2" xfId="0" applyFont="1" applyBorder="1" applyAlignment="1">
      <alignment horizontal="center" vertical="center" wrapText="1"/>
    </xf>
    <xf numFmtId="14" fontId="313" fillId="0" borderId="2" xfId="0" applyNumberFormat="1" applyFont="1" applyBorder="1" applyAlignment="1">
      <alignment horizontal="center" vertical="center" wrapText="1"/>
    </xf>
    <xf numFmtId="196" fontId="0" fillId="0" borderId="0" xfId="0" applyNumberFormat="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lignment vertical="center"/>
    </xf>
    <xf numFmtId="14" fontId="0" fillId="0" borderId="0" xfId="0" applyNumberFormat="1" applyAlignment="1">
      <alignment horizontal="center" vertical="center"/>
    </xf>
    <xf numFmtId="0" fontId="141" fillId="0" borderId="0" xfId="0" applyFont="1" applyAlignment="1">
      <alignment horizontal="center" vertical="center" wrapText="1"/>
    </xf>
    <xf numFmtId="14" fontId="141" fillId="0" borderId="0" xfId="0" applyNumberFormat="1" applyFont="1" applyAlignment="1">
      <alignment horizontal="center" vertical="center"/>
    </xf>
    <xf numFmtId="0" fontId="0" fillId="32" borderId="0" xfId="0" applyFill="1" applyAlignment="1">
      <alignment horizontal="center" vertical="center"/>
    </xf>
    <xf numFmtId="0" fontId="141" fillId="32" borderId="0" xfId="0" applyFont="1" applyFill="1" applyAlignment="1">
      <alignment horizontal="center" vertical="center"/>
    </xf>
    <xf numFmtId="14" fontId="141" fillId="32" borderId="0" xfId="0" applyNumberFormat="1" applyFont="1" applyFill="1" applyAlignment="1">
      <alignment horizontal="center" vertical="center"/>
    </xf>
    <xf numFmtId="0" fontId="0" fillId="32" borderId="0" xfId="0" applyFill="1">
      <alignment vertical="center"/>
    </xf>
    <xf numFmtId="14" fontId="0" fillId="32" borderId="0" xfId="0" applyNumberFormat="1" applyFill="1" applyAlignment="1">
      <alignment horizontal="center" vertical="center"/>
    </xf>
    <xf numFmtId="0" fontId="141" fillId="31" borderId="0" xfId="0" applyFont="1" applyFill="1" applyAlignment="1">
      <alignment horizontal="center" vertical="center"/>
    </xf>
    <xf numFmtId="14" fontId="0" fillId="31" borderId="0" xfId="0" applyNumberFormat="1" applyFill="1" applyAlignment="1">
      <alignment horizontal="center" vertical="center"/>
    </xf>
    <xf numFmtId="14" fontId="141" fillId="31" borderId="0" xfId="0" applyNumberFormat="1" applyFont="1" applyFill="1" applyAlignment="1">
      <alignment horizontal="center" vertical="center"/>
    </xf>
    <xf numFmtId="14" fontId="143" fillId="31" borderId="0" xfId="0" applyNumberFormat="1" applyFont="1" applyFill="1" applyAlignment="1">
      <alignment horizontal="center" vertical="center"/>
    </xf>
    <xf numFmtId="0" fontId="141" fillId="31" borderId="0" xfId="0" applyFont="1" applyFill="1">
      <alignment vertical="center"/>
    </xf>
    <xf numFmtId="0" fontId="3" fillId="0" borderId="2" xfId="0" applyFont="1" applyBorder="1" applyAlignment="1">
      <alignment horizontal="center" vertical="center" wrapText="1"/>
    </xf>
    <xf numFmtId="0" fontId="276" fillId="0" borderId="2" xfId="0" applyFont="1" applyBorder="1" applyAlignment="1">
      <alignment horizontal="left" vertical="center" wrapText="1"/>
    </xf>
    <xf numFmtId="0" fontId="276" fillId="0" borderId="2" xfId="0" applyFont="1" applyBorder="1" applyAlignment="1">
      <alignment horizontal="center" vertical="center" wrapText="1"/>
    </xf>
    <xf numFmtId="9" fontId="276" fillId="0" borderId="2" xfId="0" applyNumberFormat="1" applyFont="1" applyBorder="1" applyAlignment="1">
      <alignment horizontal="center"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0" borderId="2" xfId="1" applyBorder="1" applyAlignment="1">
      <alignment horizontal="center" vertical="center"/>
    </xf>
    <xf numFmtId="0" fontId="142" fillId="24" borderId="2"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5"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276" fillId="0" borderId="2" xfId="0" applyFont="1" applyBorder="1" applyAlignment="1">
      <alignment horizontal="center" vertical="center" wrapText="1"/>
    </xf>
    <xf numFmtId="0" fontId="315" fillId="0" borderId="2" xfId="0" applyFont="1" applyBorder="1" applyAlignment="1">
      <alignment horizontal="center" vertical="center" wrapText="1"/>
    </xf>
    <xf numFmtId="0" fontId="0" fillId="0" borderId="0" xfId="0" applyAlignment="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176" xfId="0" applyBorder="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32"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243" fillId="8" borderId="2" xfId="19" applyFont="1" applyFill="1" applyBorder="1" applyAlignment="1">
      <alignment horizontal="center" vertical="center" wrapText="1"/>
    </xf>
    <xf numFmtId="0" fontId="300" fillId="8" borderId="2" xfId="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12" fillId="0" borderId="2" xfId="0" applyFont="1" applyBorder="1" applyAlignment="1">
      <alignment horizontal="center" vertical="center" wrapText="1"/>
    </xf>
    <xf numFmtId="0" fontId="314" fillId="0" borderId="2" xfId="0" applyFont="1" applyBorder="1" applyAlignment="1">
      <alignment horizontal="center" vertical="center" wrapText="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xf numFmtId="0" fontId="141" fillId="8" borderId="0" xfId="0" applyFont="1" applyFill="1" applyAlignment="1">
      <alignment horizontal="center" vertical="center"/>
    </xf>
    <xf numFmtId="14" fontId="0" fillId="8" borderId="0" xfId="0" applyNumberFormat="1" applyFill="1" applyAlignment="1">
      <alignment horizontal="center" vertical="center"/>
    </xf>
    <xf numFmtId="0" fontId="0" fillId="32" borderId="2" xfId="0" applyFill="1" applyBorder="1">
      <alignment vertical="center"/>
    </xf>
    <xf numFmtId="0" fontId="141" fillId="32" borderId="2" xfId="0" applyFont="1" applyFill="1" applyBorder="1" applyAlignment="1">
      <alignment horizontal="center" vertical="center"/>
    </xf>
    <xf numFmtId="9" fontId="0" fillId="32" borderId="2" xfId="0" applyNumberFormat="1" applyFill="1" applyBorder="1" applyAlignment="1">
      <alignment horizontal="center" vertical="center"/>
    </xf>
    <xf numFmtId="57" fontId="0" fillId="32" borderId="2" xfId="0" applyNumberFormat="1" applyFill="1" applyBorder="1" applyAlignment="1">
      <alignment horizontal="center" vertical="center"/>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31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72</xdr:row>
      <xdr:rowOff>63033</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72</xdr:row>
      <xdr:rowOff>50336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5" name="图片 14">
          <a:extLst>
            <a:ext uri="{FF2B5EF4-FFF2-40B4-BE49-F238E27FC236}">
              <a16:creationId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6" name="图片 15">
          <a:extLst>
            <a:ext uri="{FF2B5EF4-FFF2-40B4-BE49-F238E27FC236}">
              <a16:creationId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7" name="图片 16">
          <a:extLst>
            <a:ext uri="{FF2B5EF4-FFF2-40B4-BE49-F238E27FC236}">
              <a16:creationId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8" name="图片 17">
          <a:extLst>
            <a:ext uri="{FF2B5EF4-FFF2-40B4-BE49-F238E27FC236}">
              <a16:creationId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48250"/>
          <a:ext cx="5828571"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0</xdr:row>
      <xdr:rowOff>142875</xdr:rowOff>
    </xdr:from>
    <xdr:to>
      <xdr:col>11</xdr:col>
      <xdr:colOff>313700</xdr:colOff>
      <xdr:row>21</xdr:row>
      <xdr:rowOff>151949</xdr:rowOff>
    </xdr:to>
    <xdr:pic>
      <xdr:nvPicPr>
        <xdr:cNvPr id="2" name="图片 1">
          <a:extLst>
            <a:ext uri="{FF2B5EF4-FFF2-40B4-BE49-F238E27FC236}">
              <a16:creationId xmlns:a16="http://schemas.microsoft.com/office/drawing/2014/main" id="{B0A5701E-D2A9-4DFA-8AC3-19434BD67087}"/>
            </a:ext>
          </a:extLst>
        </xdr:cNvPr>
        <xdr:cNvPicPr>
          <a:picLocks noChangeAspect="1"/>
        </xdr:cNvPicPr>
      </xdr:nvPicPr>
      <xdr:blipFill>
        <a:blip xmlns:r="http://schemas.openxmlformats.org/officeDocument/2006/relationships" r:embed="rId1"/>
        <a:stretch>
          <a:fillRect/>
        </a:stretch>
      </xdr:blipFill>
      <xdr:spPr>
        <a:xfrm>
          <a:off x="6905625" y="142875"/>
          <a:ext cx="5000000" cy="3609524"/>
        </a:xfrm>
        <a:prstGeom prst="rect">
          <a:avLst/>
        </a:prstGeom>
      </xdr:spPr>
    </xdr:pic>
    <xdr:clientData/>
  </xdr:twoCellAnchor>
  <xdr:twoCellAnchor editAs="oneCell">
    <xdr:from>
      <xdr:col>0</xdr:col>
      <xdr:colOff>47625</xdr:colOff>
      <xdr:row>19</xdr:row>
      <xdr:rowOff>9525</xdr:rowOff>
    </xdr:from>
    <xdr:to>
      <xdr:col>2</xdr:col>
      <xdr:colOff>1285292</xdr:colOff>
      <xdr:row>38</xdr:row>
      <xdr:rowOff>28165</xdr:rowOff>
    </xdr:to>
    <xdr:pic>
      <xdr:nvPicPr>
        <xdr:cNvPr id="3" name="图片 2">
          <a:extLst>
            <a:ext uri="{FF2B5EF4-FFF2-40B4-BE49-F238E27FC236}">
              <a16:creationId xmlns:a16="http://schemas.microsoft.com/office/drawing/2014/main" id="{B6E95ED6-4637-444B-A97E-8AFB5A8B2838}"/>
            </a:ext>
          </a:extLst>
        </xdr:cNvPr>
        <xdr:cNvPicPr>
          <a:picLocks noChangeAspect="1"/>
        </xdr:cNvPicPr>
      </xdr:nvPicPr>
      <xdr:blipFill>
        <a:blip xmlns:r="http://schemas.openxmlformats.org/officeDocument/2006/relationships" r:embed="rId2"/>
        <a:stretch>
          <a:fillRect/>
        </a:stretch>
      </xdr:blipFill>
      <xdr:spPr>
        <a:xfrm>
          <a:off x="47625" y="3267075"/>
          <a:ext cx="4666667" cy="32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11</xdr:col>
      <xdr:colOff>492498</xdr:colOff>
      <xdr:row>31</xdr:row>
      <xdr:rowOff>152391</xdr:rowOff>
    </xdr:to>
    <xdr:pic>
      <xdr:nvPicPr>
        <xdr:cNvPr id="2" name="图片 1">
          <a:extLst>
            <a:ext uri="{FF2B5EF4-FFF2-40B4-BE49-F238E27FC236}">
              <a16:creationId xmlns:a16="http://schemas.microsoft.com/office/drawing/2014/main" id="{E4E0EBF4-B48E-4EBA-BBDB-A5DA71DD0000}"/>
            </a:ext>
          </a:extLst>
        </xdr:cNvPr>
        <xdr:cNvPicPr>
          <a:picLocks noChangeAspect="1"/>
        </xdr:cNvPicPr>
      </xdr:nvPicPr>
      <xdr:blipFill>
        <a:blip xmlns:r="http://schemas.openxmlformats.org/officeDocument/2006/relationships" r:embed="rId1"/>
        <a:stretch>
          <a:fillRect/>
        </a:stretch>
      </xdr:blipFill>
      <xdr:spPr>
        <a:xfrm>
          <a:off x="0" y="2409825"/>
          <a:ext cx="11093823" cy="3057516"/>
        </a:xfrm>
        <a:prstGeom prst="rect">
          <a:avLst/>
        </a:prstGeom>
      </xdr:spPr>
    </xdr:pic>
    <xdr:clientData/>
  </xdr:twoCellAnchor>
  <xdr:twoCellAnchor editAs="oneCell">
    <xdr:from>
      <xdr:col>12</xdr:col>
      <xdr:colOff>0</xdr:colOff>
      <xdr:row>5</xdr:row>
      <xdr:rowOff>0</xdr:rowOff>
    </xdr:from>
    <xdr:to>
      <xdr:col>19</xdr:col>
      <xdr:colOff>218448</xdr:colOff>
      <xdr:row>24</xdr:row>
      <xdr:rowOff>132926</xdr:rowOff>
    </xdr:to>
    <xdr:pic>
      <xdr:nvPicPr>
        <xdr:cNvPr id="3" name="图片 2">
          <a:extLst>
            <a:ext uri="{FF2B5EF4-FFF2-40B4-BE49-F238E27FC236}">
              <a16:creationId xmlns:a16="http://schemas.microsoft.com/office/drawing/2014/main" id="{8252F6B2-8209-40C3-83AA-8F437208978A}"/>
            </a:ext>
          </a:extLst>
        </xdr:cNvPr>
        <xdr:cNvPicPr>
          <a:picLocks noChangeAspect="1"/>
        </xdr:cNvPicPr>
      </xdr:nvPicPr>
      <xdr:blipFill>
        <a:blip xmlns:r="http://schemas.openxmlformats.org/officeDocument/2006/relationships" r:embed="rId2"/>
        <a:stretch>
          <a:fillRect/>
        </a:stretch>
      </xdr:blipFill>
      <xdr:spPr>
        <a:xfrm>
          <a:off x="11287125" y="857250"/>
          <a:ext cx="5019048" cy="3390476"/>
        </a:xfrm>
        <a:prstGeom prst="rect">
          <a:avLst/>
        </a:prstGeom>
      </xdr:spPr>
    </xdr:pic>
    <xdr:clientData/>
  </xdr:twoCellAnchor>
  <xdr:twoCellAnchor editAs="oneCell">
    <xdr:from>
      <xdr:col>11</xdr:col>
      <xdr:colOff>676275</xdr:colOff>
      <xdr:row>12</xdr:row>
      <xdr:rowOff>47625</xdr:rowOff>
    </xdr:from>
    <xdr:to>
      <xdr:col>18</xdr:col>
      <xdr:colOff>494723</xdr:colOff>
      <xdr:row>29</xdr:row>
      <xdr:rowOff>18689</xdr:rowOff>
    </xdr:to>
    <xdr:pic>
      <xdr:nvPicPr>
        <xdr:cNvPr id="4" name="图片 3">
          <a:extLst>
            <a:ext uri="{FF2B5EF4-FFF2-40B4-BE49-F238E27FC236}">
              <a16:creationId xmlns:a16="http://schemas.microsoft.com/office/drawing/2014/main" id="{28DB2DB5-9552-4F78-A301-5EBD9B2DFFAF}"/>
            </a:ext>
          </a:extLst>
        </xdr:cNvPr>
        <xdr:cNvPicPr>
          <a:picLocks noChangeAspect="1"/>
        </xdr:cNvPicPr>
      </xdr:nvPicPr>
      <xdr:blipFill>
        <a:blip xmlns:r="http://schemas.openxmlformats.org/officeDocument/2006/relationships" r:embed="rId3"/>
        <a:stretch>
          <a:fillRect/>
        </a:stretch>
      </xdr:blipFill>
      <xdr:spPr>
        <a:xfrm>
          <a:off x="11277600" y="2105025"/>
          <a:ext cx="4619048" cy="2885714"/>
        </a:xfrm>
        <a:prstGeom prst="rect">
          <a:avLst/>
        </a:prstGeom>
      </xdr:spPr>
    </xdr:pic>
    <xdr:clientData/>
  </xdr:twoCellAnchor>
  <xdr:twoCellAnchor editAs="oneCell">
    <xdr:from>
      <xdr:col>1</xdr:col>
      <xdr:colOff>28575</xdr:colOff>
      <xdr:row>33</xdr:row>
      <xdr:rowOff>57150</xdr:rowOff>
    </xdr:from>
    <xdr:to>
      <xdr:col>5</xdr:col>
      <xdr:colOff>656414</xdr:colOff>
      <xdr:row>63</xdr:row>
      <xdr:rowOff>18412</xdr:rowOff>
    </xdr:to>
    <xdr:pic>
      <xdr:nvPicPr>
        <xdr:cNvPr id="5" name="图片 4">
          <a:extLst>
            <a:ext uri="{FF2B5EF4-FFF2-40B4-BE49-F238E27FC236}">
              <a16:creationId xmlns:a16="http://schemas.microsoft.com/office/drawing/2014/main" id="{31BDC5CF-8944-48CA-9909-7615F13B87A8}"/>
            </a:ext>
          </a:extLst>
        </xdr:cNvPr>
        <xdr:cNvPicPr>
          <a:picLocks noChangeAspect="1"/>
        </xdr:cNvPicPr>
      </xdr:nvPicPr>
      <xdr:blipFill>
        <a:blip xmlns:r="http://schemas.openxmlformats.org/officeDocument/2006/relationships" r:embed="rId4"/>
        <a:stretch>
          <a:fillRect/>
        </a:stretch>
      </xdr:blipFill>
      <xdr:spPr>
        <a:xfrm>
          <a:off x="466725" y="5715000"/>
          <a:ext cx="6485714" cy="51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266700</xdr:colOff>
      <xdr:row>1</xdr:row>
      <xdr:rowOff>142875</xdr:rowOff>
    </xdr:from>
    <xdr:to>
      <xdr:col>36</xdr:col>
      <xdr:colOff>113205</xdr:colOff>
      <xdr:row>7</xdr:row>
      <xdr:rowOff>519982</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22</xdr:col>
      <xdr:colOff>457200</xdr:colOff>
      <xdr:row>2</xdr:row>
      <xdr:rowOff>285750</xdr:rowOff>
    </xdr:from>
    <xdr:to>
      <xdr:col>29</xdr:col>
      <xdr:colOff>94695</xdr:colOff>
      <xdr:row>6</xdr:row>
      <xdr:rowOff>397988</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22</xdr:col>
      <xdr:colOff>190500</xdr:colOff>
      <xdr:row>3</xdr:row>
      <xdr:rowOff>685800</xdr:rowOff>
    </xdr:from>
    <xdr:to>
      <xdr:col>30</xdr:col>
      <xdr:colOff>466005</xdr:colOff>
      <xdr:row>7</xdr:row>
      <xdr:rowOff>1024928</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22</xdr:col>
      <xdr:colOff>19050</xdr:colOff>
      <xdr:row>5</xdr:row>
      <xdr:rowOff>0</xdr:rowOff>
    </xdr:from>
    <xdr:to>
      <xdr:col>32</xdr:col>
      <xdr:colOff>161051</xdr:colOff>
      <xdr:row>8</xdr:row>
      <xdr:rowOff>918421</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1820525" y="2743200"/>
          <a:ext cx="7000000" cy="3695238"/>
        </a:xfrm>
        <a:prstGeom prst="rect">
          <a:avLst/>
        </a:prstGeom>
      </xdr:spPr>
    </xdr:pic>
    <xdr:clientData/>
  </xdr:twoCellAnchor>
  <xdr:twoCellAnchor editAs="oneCell">
    <xdr:from>
      <xdr:col>21</xdr:col>
      <xdr:colOff>514350</xdr:colOff>
      <xdr:row>6</xdr:row>
      <xdr:rowOff>114300</xdr:rowOff>
    </xdr:from>
    <xdr:to>
      <xdr:col>29</xdr:col>
      <xdr:colOff>256520</xdr:colOff>
      <xdr:row>8</xdr:row>
      <xdr:rowOff>1186876</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1630025" y="3590925"/>
          <a:ext cx="5228571" cy="3104762"/>
        </a:xfrm>
        <a:prstGeom prst="rect">
          <a:avLst/>
        </a:prstGeom>
      </xdr:spPr>
    </xdr:pic>
    <xdr:clientData/>
  </xdr:twoCellAnchor>
  <xdr:twoCellAnchor editAs="oneCell">
    <xdr:from>
      <xdr:col>22</xdr:col>
      <xdr:colOff>180975</xdr:colOff>
      <xdr:row>8</xdr:row>
      <xdr:rowOff>28575</xdr:rowOff>
    </xdr:from>
    <xdr:to>
      <xdr:col>29</xdr:col>
      <xdr:colOff>656565</xdr:colOff>
      <xdr:row>12</xdr:row>
      <xdr:rowOff>74148</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1982450" y="5514975"/>
          <a:ext cx="5276190" cy="2961905"/>
        </a:xfrm>
        <a:prstGeom prst="rect">
          <a:avLst/>
        </a:prstGeom>
      </xdr:spPr>
    </xdr:pic>
    <xdr:clientData/>
  </xdr:twoCellAnchor>
  <xdr:twoCellAnchor editAs="oneCell">
    <xdr:from>
      <xdr:col>21</xdr:col>
      <xdr:colOff>9525</xdr:colOff>
      <xdr:row>8</xdr:row>
      <xdr:rowOff>1266825</xdr:rowOff>
    </xdr:from>
    <xdr:to>
      <xdr:col>29</xdr:col>
      <xdr:colOff>65981</xdr:colOff>
      <xdr:row>19</xdr:row>
      <xdr:rowOff>102725</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22</xdr:col>
      <xdr:colOff>381000</xdr:colOff>
      <xdr:row>7</xdr:row>
      <xdr:rowOff>0</xdr:rowOff>
    </xdr:from>
    <xdr:to>
      <xdr:col>30</xdr:col>
      <xdr:colOff>608886</xdr:colOff>
      <xdr:row>9</xdr:row>
      <xdr:rowOff>959902</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2182475" y="4210050"/>
          <a:ext cx="5714286" cy="3533333"/>
        </a:xfrm>
        <a:prstGeom prst="rect">
          <a:avLst/>
        </a:prstGeom>
      </xdr:spPr>
    </xdr:pic>
    <xdr:clientData/>
  </xdr:twoCellAnchor>
  <xdr:twoCellAnchor editAs="oneCell">
    <xdr:from>
      <xdr:col>8</xdr:col>
      <xdr:colOff>428065</xdr:colOff>
      <xdr:row>10</xdr:row>
      <xdr:rowOff>152400</xdr:rowOff>
    </xdr:from>
    <xdr:to>
      <xdr:col>22</xdr:col>
      <xdr:colOff>391683</xdr:colOff>
      <xdr:row>44</xdr:row>
      <xdr:rowOff>18338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4888006" y="8231841"/>
          <a:ext cx="8648177" cy="5580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row r="51">
          <cell r="G51">
            <v>391132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1926</v>
      </c>
    </row>
    <row r="47" spans="1:2">
      <c r="A47" s="2355" t="s">
        <v>2006</v>
      </c>
      <c r="B47" s="2356">
        <f ca="1">'预评函-2'!Q5</f>
        <v>1926</v>
      </c>
    </row>
    <row r="48" spans="1:2">
      <c r="A48" s="2355" t="s">
        <v>2007</v>
      </c>
      <c r="B48" s="2356">
        <f ca="1">'预评函-2'!R5</f>
        <v>4261</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A17" sqref="A17"/>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904" t="str">
        <f>IF(B10="北京市","北京市",C10)&amp;F10&amp;A17&amp;"国有建设用地使用权"&amp;B9&amp;"预评估"</f>
        <v>北京市划拨国有建设用地使用权市场价格预评估</v>
      </c>
      <c r="C1" s="3905"/>
      <c r="D1" s="3905"/>
      <c r="E1" s="3905"/>
      <c r="F1" s="3905"/>
      <c r="G1" s="3905"/>
      <c r="H1" s="3905"/>
      <c r="I1" s="3906"/>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910"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911"/>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907"/>
      <c r="C12" s="3908"/>
      <c r="D12" s="3909"/>
      <c r="E12" s="1492" t="s">
        <v>1579</v>
      </c>
      <c r="F12" s="3925" t="s">
        <v>2163</v>
      </c>
      <c r="G12" s="3926"/>
      <c r="H12" s="3926"/>
      <c r="I12" s="3927"/>
      <c r="J12" s="2814"/>
      <c r="K12" s="2797"/>
      <c r="L12" s="2793"/>
      <c r="M12" s="2793"/>
      <c r="N12" s="2794"/>
      <c r="O12" s="2795"/>
      <c r="P12" s="2794"/>
      <c r="Q12" s="2794"/>
      <c r="R12" s="2794"/>
      <c r="S12" s="2794"/>
      <c r="T12" s="2794"/>
      <c r="U12" s="2794"/>
    </row>
    <row r="13" spans="1:21">
      <c r="A13" s="1483" t="s">
        <v>1577</v>
      </c>
      <c r="B13" s="3907"/>
      <c r="C13" s="3908"/>
      <c r="D13" s="3909"/>
      <c r="E13" s="1492" t="s">
        <v>1579</v>
      </c>
      <c r="F13" s="3925" t="s">
        <v>2164</v>
      </c>
      <c r="G13" s="3926"/>
      <c r="H13" s="3926"/>
      <c r="I13" s="3927"/>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922"/>
      <c r="E20" s="3923"/>
      <c r="F20" s="3923"/>
      <c r="G20" s="3923"/>
      <c r="H20" s="3923"/>
      <c r="I20" s="3924"/>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912" t="s">
        <v>1516</v>
      </c>
      <c r="F21" s="3913"/>
      <c r="G21" s="3913"/>
      <c r="H21" s="3913"/>
      <c r="I21" s="3914"/>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912" t="s">
        <v>2165</v>
      </c>
      <c r="F22" s="3913"/>
      <c r="G22" s="3913"/>
      <c r="H22" s="3913"/>
      <c r="I22" s="3914"/>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915" t="s">
        <v>1484</v>
      </c>
      <c r="C24" s="3916"/>
      <c r="D24" s="3917" t="s">
        <v>1485</v>
      </c>
      <c r="E24" s="3918"/>
      <c r="F24" s="1500" t="s">
        <v>1486</v>
      </c>
      <c r="G24" s="2814"/>
      <c r="H24" s="2814"/>
      <c r="I24" s="2818"/>
      <c r="J24" s="2814"/>
      <c r="K24" s="3903"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903"/>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903"/>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930" t="s">
        <v>1519</v>
      </c>
      <c r="B31" s="1551" t="s">
        <v>1520</v>
      </c>
      <c r="C31" s="3928"/>
      <c r="D31" s="3929"/>
      <c r="E31" s="2814"/>
      <c r="F31" s="2814"/>
      <c r="G31" s="2814"/>
      <c r="H31" s="2814"/>
      <c r="I31" s="2818"/>
      <c r="J31" s="2814"/>
      <c r="K31" s="2800"/>
      <c r="L31" s="2794"/>
      <c r="M31" s="2794"/>
      <c r="N31" s="2794"/>
      <c r="O31" s="2794"/>
      <c r="P31" s="2794"/>
      <c r="Q31" s="2794"/>
      <c r="R31" s="2794"/>
      <c r="S31" s="2794"/>
      <c r="T31" s="2794"/>
      <c r="U31" s="2794"/>
    </row>
    <row r="32" spans="1:21">
      <c r="A32" s="393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93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931"/>
      <c r="B34" s="1462" t="s">
        <v>1523</v>
      </c>
      <c r="C34" s="3932"/>
      <c r="D34" s="3933"/>
      <c r="E34" s="2814"/>
      <c r="F34" s="2814"/>
      <c r="G34" s="2814"/>
      <c r="H34" s="2814"/>
      <c r="I34" s="2818"/>
      <c r="J34" s="2814"/>
      <c r="K34" s="2800"/>
      <c r="L34" s="2794"/>
      <c r="M34" s="2794"/>
      <c r="N34" s="2794"/>
      <c r="O34" s="2794"/>
      <c r="P34" s="2794"/>
      <c r="Q34" s="2794"/>
      <c r="R34" s="2794"/>
      <c r="S34" s="2794"/>
      <c r="T34" s="2794"/>
      <c r="U34" s="2794"/>
    </row>
    <row r="35" spans="1:28">
      <c r="A35" s="3934" t="s">
        <v>785</v>
      </c>
      <c r="B35" s="1514"/>
      <c r="C35" s="1560" t="str">
        <f>IF(B35="场地平整","——","具体情况：")</f>
        <v>具体情况：</v>
      </c>
      <c r="D35" s="3936"/>
      <c r="E35" s="3937"/>
      <c r="F35" s="3937"/>
      <c r="G35" s="3937"/>
      <c r="H35" s="3937"/>
      <c r="I35" s="3938"/>
      <c r="J35" s="2814"/>
      <c r="K35" s="2801"/>
      <c r="L35" s="2793"/>
      <c r="M35" s="2793"/>
      <c r="N35" s="2794"/>
      <c r="O35" s="2795"/>
      <c r="P35" s="2794"/>
      <c r="Q35" s="2794"/>
      <c r="R35" s="2794"/>
      <c r="S35" s="2794"/>
      <c r="T35" s="2794"/>
      <c r="U35" s="2794"/>
    </row>
    <row r="36" spans="1:28">
      <c r="A36" s="3930"/>
      <c r="B36" s="3939" t="s">
        <v>1572</v>
      </c>
      <c r="C36" s="3940"/>
      <c r="D36" s="1576"/>
      <c r="E36" s="3941"/>
      <c r="F36" s="3941"/>
      <c r="G36" s="1483" t="str">
        <f>IF(B35="场地未平整","估价结果处理","")</f>
        <v/>
      </c>
      <c r="H36" s="3942"/>
      <c r="I36" s="3942"/>
      <c r="J36" s="2814"/>
      <c r="K36" s="2801"/>
      <c r="L36" s="2793"/>
      <c r="M36" s="2793"/>
      <c r="N36" s="2794"/>
      <c r="O36" s="2795"/>
      <c r="P36" s="2794"/>
      <c r="Q36" s="2794"/>
      <c r="R36" s="2794"/>
      <c r="S36" s="2794"/>
      <c r="T36" s="2794"/>
      <c r="U36" s="2794"/>
    </row>
    <row r="37" spans="1:28" ht="28.5">
      <c r="A37" s="3930"/>
      <c r="B37" s="3919"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930"/>
      <c r="B38" s="3920"/>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931"/>
      <c r="B39" s="3921"/>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902" t="s">
        <v>1503</v>
      </c>
      <c r="T40" s="1523" t="str">
        <f>NUMBERSTRING(7-K40,1)&amp;"通"</f>
        <v>七通</v>
      </c>
      <c r="U40" s="2794"/>
    </row>
    <row r="41" spans="1:28">
      <c r="A41" s="1464"/>
      <c r="B41" s="3935" t="s">
        <v>1250</v>
      </c>
      <c r="C41" s="3935"/>
      <c r="D41" s="3935"/>
      <c r="E41" s="3935"/>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902"/>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952" t="s">
        <v>169</v>
      </c>
      <c r="B2" s="3952"/>
      <c r="C2" s="3952"/>
      <c r="D2" s="1727" t="s">
        <v>170</v>
      </c>
      <c r="E2" s="102" t="s">
        <v>171</v>
      </c>
      <c r="F2" s="2823"/>
      <c r="G2" s="1094"/>
      <c r="H2" s="1095"/>
      <c r="I2" s="1096" t="s">
        <v>795</v>
      </c>
      <c r="J2" s="2823"/>
      <c r="K2" s="2823"/>
      <c r="L2" s="2823"/>
      <c r="M2" s="2823"/>
      <c r="N2" s="2823"/>
      <c r="O2" s="2823"/>
      <c r="P2" s="2823"/>
    </row>
    <row r="3" spans="1:16" ht="15.75" thickBot="1">
      <c r="A3" s="3953" t="s">
        <v>172</v>
      </c>
      <c r="B3" s="3953"/>
      <c r="C3" s="3953"/>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954"/>
      <c r="B4" s="3955"/>
      <c r="C4" s="3956"/>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957" t="s">
        <v>196</v>
      </c>
      <c r="C5" s="3957"/>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957" t="s">
        <v>174</v>
      </c>
      <c r="C6" s="3957"/>
      <c r="D6" s="107">
        <f>ROUND($D$3*E6/$E$3,2)</f>
        <v>22121.8</v>
      </c>
      <c r="E6" s="108">
        <f>E3-E5</f>
        <v>22121.8</v>
      </c>
      <c r="F6" s="2823"/>
      <c r="G6" s="1097"/>
      <c r="H6" s="266" t="s">
        <v>798</v>
      </c>
      <c r="I6" s="1728">
        <f>ROUND(F31/D31,2)</f>
        <v>1</v>
      </c>
      <c r="J6" s="2823"/>
      <c r="K6" s="2823"/>
      <c r="L6" s="2823"/>
      <c r="M6" s="2823"/>
      <c r="N6" s="2823"/>
      <c r="O6" s="2823"/>
      <c r="P6" s="2823"/>
    </row>
    <row r="7" spans="1:16" ht="15">
      <c r="A7" s="3949"/>
      <c r="B7" s="3950"/>
      <c r="C7" s="3951"/>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943" t="s">
        <v>1849</v>
      </c>
      <c r="L16" s="3944"/>
      <c r="M16" s="3944"/>
      <c r="N16" s="3944"/>
      <c r="O16" s="3944"/>
      <c r="P16" s="3945"/>
    </row>
    <row r="17" spans="1:19" ht="15">
      <c r="A17" s="117" t="s">
        <v>182</v>
      </c>
      <c r="B17" s="118" t="s">
        <v>183</v>
      </c>
      <c r="C17" s="2014" t="s">
        <v>1670</v>
      </c>
      <c r="D17" s="104" t="s">
        <v>170</v>
      </c>
      <c r="E17" s="120" t="s">
        <v>171</v>
      </c>
      <c r="F17" s="121"/>
      <c r="G17" s="1223"/>
      <c r="H17" s="930" t="s">
        <v>184</v>
      </c>
      <c r="I17" s="931" t="s">
        <v>1669</v>
      </c>
      <c r="J17" s="1736"/>
      <c r="K17" s="3946" t="s">
        <v>1850</v>
      </c>
      <c r="L17" s="3947"/>
      <c r="M17" s="3948"/>
      <c r="N17" s="3946" t="s">
        <v>1851</v>
      </c>
      <c r="O17" s="3947"/>
      <c r="P17" s="3948"/>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80" priority="1" stopIfTrue="1" operator="containsText" text="面积有误">
      <formula>NOT(ISERROR(SEARCH("面积有误",E27)))</formula>
    </cfRule>
    <cfRule type="cellIs" dxfId="279" priority="3" stopIfTrue="1" operator="equal">
      <formula>"地下面积有误"</formula>
    </cfRule>
  </conditionalFormatting>
  <conditionalFormatting sqref="F27">
    <cfRule type="cellIs" dxfId="2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6" sqref="E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277" priority="12" stopIfTrue="1" operator="containsText" text="自行计算">
      <formula>NOT(ISERROR(SEARCH("自行计算",T6)))</formula>
    </cfRule>
    <cfRule type="containsText" dxfId="276" priority="13" stopIfTrue="1" operator="containsText" text="自行计算">
      <formula>NOT(ISERROR(SEARCH("自行计算",T6)))</formula>
    </cfRule>
  </conditionalFormatting>
  <conditionalFormatting sqref="T6:T13">
    <cfRule type="containsText" dxfId="275" priority="10" stopIfTrue="1" operator="containsText" text="自行计算">
      <formula>NOT(ISERROR(SEARCH("自行计算",T6)))</formula>
    </cfRule>
    <cfRule type="containsText" dxfId="274" priority="11" stopIfTrue="1" operator="containsText" text="自行计算">
      <formula>NOT(ISERROR(SEARCH("自行计算",T6)))</formula>
    </cfRule>
  </conditionalFormatting>
  <conditionalFormatting sqref="T12:T13">
    <cfRule type="containsText" dxfId="273" priority="4" stopIfTrue="1" operator="containsText" text="自行计算">
      <formula>NOT(ISERROR(SEARCH("自行计算",T12)))</formula>
    </cfRule>
    <cfRule type="containsText" dxfId="272" priority="5" stopIfTrue="1" operator="containsText" text="自行计算">
      <formula>NOT(ISERROR(SEARCH("自行计算",T12)))</formula>
    </cfRule>
  </conditionalFormatting>
  <conditionalFormatting sqref="T12:T13">
    <cfRule type="containsText" dxfId="271" priority="2" stopIfTrue="1" operator="containsText" text="自行计算">
      <formula>NOT(ISERROR(SEARCH("自行计算",T12)))</formula>
    </cfRule>
    <cfRule type="containsText" dxfId="270" priority="3" stopIfTrue="1" operator="containsText" text="自行计算">
      <formula>NOT(ISERROR(SEARCH("自行计算",T12)))</formula>
    </cfRule>
  </conditionalFormatting>
  <conditionalFormatting sqref="T6:T15">
    <cfRule type="expression" dxfId="26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958" t="s">
        <v>1198</v>
      </c>
      <c r="B1" s="3959"/>
      <c r="C1" s="3959"/>
      <c r="D1" s="3959"/>
      <c r="E1" s="3959"/>
      <c r="F1" s="3959"/>
      <c r="G1" s="3959"/>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81">
      <c r="A3" s="2865" t="s">
        <v>1201</v>
      </c>
      <c r="B3" s="2866" t="s">
        <v>1188</v>
      </c>
      <c r="C3" s="2867" t="s">
        <v>2182</v>
      </c>
      <c r="D3" s="2868"/>
      <c r="E3" s="2869" t="s">
        <v>1201</v>
      </c>
      <c r="F3" s="2870" t="s">
        <v>1189</v>
      </c>
      <c r="G3" s="3756" t="s">
        <v>3523</v>
      </c>
      <c r="H3" s="2864"/>
      <c r="I3" s="2864"/>
      <c r="J3" s="2864"/>
      <c r="K3" s="2864"/>
      <c r="L3" s="2864"/>
      <c r="M3" s="2864"/>
      <c r="N3" s="2864"/>
      <c r="O3" s="2864"/>
      <c r="P3" s="2864"/>
      <c r="Q3" s="2864"/>
      <c r="R3" s="2864"/>
    </row>
    <row r="4" spans="1:18" ht="81">
      <c r="A4" s="2869"/>
      <c r="B4" s="2871" t="s">
        <v>1202</v>
      </c>
      <c r="C4" s="2872" t="s">
        <v>2183</v>
      </c>
      <c r="D4" s="2868"/>
      <c r="E4" s="2873"/>
      <c r="F4" s="2874" t="s">
        <v>1203</v>
      </c>
      <c r="G4" s="3773" t="s">
        <v>3658</v>
      </c>
      <c r="H4" s="2864"/>
      <c r="I4" s="2864"/>
      <c r="J4" s="2864"/>
      <c r="K4" s="2864"/>
      <c r="L4" s="2864"/>
      <c r="M4" s="2864"/>
      <c r="N4" s="2864"/>
      <c r="O4" s="2864"/>
      <c r="P4" s="2864"/>
      <c r="Q4" s="2864"/>
      <c r="R4" s="2864"/>
    </row>
    <row r="5" spans="1:18" ht="67.5">
      <c r="A5" s="2869"/>
      <c r="B5" s="2871" t="s">
        <v>1204</v>
      </c>
      <c r="C5" s="2872" t="s">
        <v>2184</v>
      </c>
      <c r="D5" s="2868"/>
      <c r="E5" s="2873"/>
      <c r="F5" s="2871" t="s">
        <v>1829</v>
      </c>
      <c r="G5" s="3773" t="s">
        <v>3656</v>
      </c>
      <c r="H5" s="2864"/>
      <c r="I5" s="2864"/>
      <c r="J5" s="2864"/>
      <c r="K5" s="2864"/>
      <c r="L5" s="2864"/>
      <c r="M5" s="2864"/>
      <c r="N5" s="2864"/>
      <c r="O5" s="2864"/>
      <c r="P5" s="2864"/>
      <c r="Q5" s="2864"/>
      <c r="R5" s="2864"/>
    </row>
    <row r="6" spans="1:18" ht="40.5">
      <c r="A6" s="2869"/>
      <c r="B6" s="2871" t="s">
        <v>1190</v>
      </c>
      <c r="C6" s="2875" t="s">
        <v>2180</v>
      </c>
      <c r="D6" s="2868"/>
      <c r="E6" s="2873"/>
      <c r="F6" s="2871" t="s">
        <v>1830</v>
      </c>
      <c r="G6" s="3773" t="s">
        <v>3660</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3772" t="s">
        <v>3655</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81">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81">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3775" t="s">
        <v>3659</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67.5">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3774" t="s">
        <v>3657</v>
      </c>
    </row>
    <row r="23" spans="1:7" ht="15" thickBot="1">
      <c r="A23" s="2909"/>
      <c r="B23" s="2913" t="s">
        <v>1196</v>
      </c>
      <c r="C23" s="2916"/>
      <c r="E23" s="2917"/>
      <c r="F23" s="2918" t="s">
        <v>1210</v>
      </c>
      <c r="G23" s="3750" t="s">
        <v>3513</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9994.9861999999994</v>
      </c>
      <c r="C5" s="2923">
        <f>ROUND(B5*10000/$B$1,0)</f>
        <v>4518</v>
      </c>
      <c r="D5" s="2923">
        <f>ROUND(B5*10000/$B$2,0)</f>
        <v>4518</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9994.9861999999994</v>
      </c>
      <c r="E14" s="2929">
        <f>ROUND(D14*10000/B14,0)</f>
        <v>4518</v>
      </c>
      <c r="F14" s="2929">
        <f>ROUND(D14*10000/C14,0)</f>
        <v>4518</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I9" sqref="I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3432</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4004" t="str">
        <f>项目基本情况!K2</f>
        <v>北京市划拨国有建设用地使用权</v>
      </c>
      <c r="B2" s="4005"/>
      <c r="C2" s="4006"/>
      <c r="D2" s="4006"/>
      <c r="E2" s="4006"/>
      <c r="F2" s="4006"/>
      <c r="G2" s="4005"/>
      <c r="H2" s="4005"/>
      <c r="I2" s="4007"/>
      <c r="J2" s="1751"/>
      <c r="K2" s="1750"/>
      <c r="L2" s="1750"/>
      <c r="M2" s="1750"/>
      <c r="N2" s="1750"/>
      <c r="O2" s="1750"/>
      <c r="P2" s="1750"/>
      <c r="Q2" s="1750"/>
      <c r="R2" s="1750"/>
      <c r="S2" s="1750"/>
      <c r="T2" s="1750"/>
      <c r="U2" s="1750"/>
      <c r="V2" s="1750"/>
    </row>
    <row r="3" spans="1:22" ht="14.25">
      <c r="A3" s="4015" t="s">
        <v>264</v>
      </c>
      <c r="B3" s="4016"/>
      <c r="C3" s="4016"/>
      <c r="D3" s="4016"/>
      <c r="E3" s="4016"/>
      <c r="F3" s="4016"/>
      <c r="G3" s="4016"/>
      <c r="H3" s="4016"/>
      <c r="I3" s="4016"/>
      <c r="J3" s="1751"/>
      <c r="K3" s="1750"/>
      <c r="L3" s="1750"/>
      <c r="M3" s="1750"/>
      <c r="N3" s="1750"/>
      <c r="O3" s="1750"/>
      <c r="P3" s="1750"/>
      <c r="Q3" s="1750"/>
      <c r="R3" s="1750"/>
      <c r="S3" s="1750"/>
      <c r="T3" s="1750"/>
      <c r="U3" s="1750"/>
      <c r="V3" s="1750"/>
    </row>
    <row r="4" spans="1:22" ht="14.25">
      <c r="A4" s="249" t="s">
        <v>265</v>
      </c>
      <c r="B4" s="250" t="s">
        <v>266</v>
      </c>
      <c r="C4" s="251" t="s">
        <v>3430</v>
      </c>
      <c r="D4" s="251" t="s">
        <v>3431</v>
      </c>
      <c r="E4" s="3979" t="s">
        <v>267</v>
      </c>
      <c r="F4" s="4021"/>
      <c r="G4" s="4021"/>
      <c r="H4" s="4021"/>
      <c r="I4" s="3980"/>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4008" t="s">
        <v>268</v>
      </c>
      <c r="B5" s="4009">
        <v>25</v>
      </c>
      <c r="C5" s="4017">
        <v>12</v>
      </c>
      <c r="D5" s="4020">
        <v>28</v>
      </c>
      <c r="E5" s="252" t="s">
        <v>269</v>
      </c>
      <c r="F5" s="253"/>
      <c r="G5" s="253"/>
      <c r="H5" s="253"/>
      <c r="I5" s="254"/>
      <c r="J5" s="1751"/>
      <c r="K5" s="1750"/>
      <c r="L5" s="1750"/>
      <c r="M5" s="1750"/>
      <c r="N5" s="1750"/>
      <c r="O5" s="1750"/>
      <c r="P5" s="1750"/>
      <c r="Q5" s="1750"/>
      <c r="R5" s="1750"/>
      <c r="S5" s="1750"/>
      <c r="T5" s="1750"/>
      <c r="U5" s="1750"/>
      <c r="V5" s="1750"/>
    </row>
    <row r="6" spans="1:22" ht="14.25">
      <c r="A6" s="4008"/>
      <c r="B6" s="4009"/>
      <c r="C6" s="4018"/>
      <c r="D6" s="4020"/>
      <c r="E6" s="252" t="s">
        <v>270</v>
      </c>
      <c r="F6" s="253"/>
      <c r="G6" s="253"/>
      <c r="H6" s="253"/>
      <c r="I6" s="254"/>
      <c r="J6" s="1751"/>
      <c r="K6" s="1750"/>
      <c r="L6" s="1750"/>
      <c r="M6" s="1750"/>
      <c r="N6" s="1750"/>
      <c r="O6" s="1750"/>
      <c r="P6" s="1750"/>
      <c r="Q6" s="1750"/>
      <c r="R6" s="1750"/>
      <c r="S6" s="1750"/>
      <c r="T6" s="1750"/>
      <c r="U6" s="1750"/>
      <c r="V6" s="1750"/>
    </row>
    <row r="7" spans="1:22" ht="14.25">
      <c r="A7" s="4008"/>
      <c r="B7" s="4009"/>
      <c r="C7" s="4019"/>
      <c r="D7" s="4020"/>
      <c r="E7" s="252" t="s">
        <v>271</v>
      </c>
      <c r="F7" s="253"/>
      <c r="G7" s="253"/>
      <c r="H7" s="253"/>
      <c r="I7" s="254"/>
      <c r="J7" s="1751"/>
      <c r="K7" s="1750"/>
      <c r="L7" s="1750"/>
      <c r="M7" s="1750"/>
      <c r="N7" s="1750"/>
      <c r="O7" s="1750"/>
      <c r="P7" s="1750"/>
      <c r="Q7" s="1750"/>
      <c r="R7" s="1750"/>
      <c r="S7" s="1750"/>
      <c r="T7" s="1750"/>
      <c r="U7" s="1750"/>
      <c r="V7" s="1750"/>
    </row>
    <row r="8" spans="1:22" ht="14.25">
      <c r="A8" s="4008" t="s">
        <v>272</v>
      </c>
      <c r="B8" s="4009">
        <v>15</v>
      </c>
      <c r="C8" s="4017">
        <v>9</v>
      </c>
      <c r="D8" s="4020">
        <v>12</v>
      </c>
      <c r="E8" s="252" t="s">
        <v>273</v>
      </c>
      <c r="F8" s="253"/>
      <c r="G8" s="253"/>
      <c r="H8" s="253"/>
      <c r="I8" s="254"/>
      <c r="J8" s="1751"/>
      <c r="K8" s="1750"/>
      <c r="L8" s="1750"/>
      <c r="M8" s="1750"/>
      <c r="N8" s="1750"/>
      <c r="O8" s="1750"/>
      <c r="P8" s="1750"/>
      <c r="Q8" s="1750"/>
      <c r="R8" s="1750"/>
      <c r="S8" s="1750"/>
      <c r="T8" s="1750"/>
      <c r="U8" s="1750"/>
      <c r="V8" s="1750"/>
    </row>
    <row r="9" spans="1:22" ht="14.25">
      <c r="A9" s="4008"/>
      <c r="B9" s="4009"/>
      <c r="C9" s="4019"/>
      <c r="D9" s="4020"/>
      <c r="E9" s="252" t="s">
        <v>274</v>
      </c>
      <c r="F9" s="253"/>
      <c r="G9" s="253"/>
      <c r="H9" s="253"/>
      <c r="I9" s="254"/>
      <c r="J9" s="1751"/>
      <c r="K9" s="1750"/>
      <c r="L9" s="1750"/>
      <c r="M9" s="1750"/>
      <c r="N9" s="1750"/>
      <c r="O9" s="1750"/>
      <c r="P9" s="1750"/>
      <c r="Q9" s="1750"/>
      <c r="R9" s="1750"/>
      <c r="S9" s="1750"/>
      <c r="T9" s="1750"/>
      <c r="U9" s="1750"/>
      <c r="V9" s="1750"/>
    </row>
    <row r="10" spans="1:22" ht="14.25">
      <c r="A10" s="4008" t="s">
        <v>275</v>
      </c>
      <c r="B10" s="4009">
        <v>15</v>
      </c>
      <c r="C10" s="4017">
        <v>9</v>
      </c>
      <c r="D10" s="4020">
        <v>12</v>
      </c>
      <c r="E10" s="252" t="s">
        <v>276</v>
      </c>
      <c r="F10" s="253"/>
      <c r="G10" s="253"/>
      <c r="H10" s="253"/>
      <c r="I10" s="254"/>
      <c r="J10" s="1751"/>
      <c r="K10" s="1750"/>
      <c r="L10" s="1750"/>
      <c r="M10" s="1750"/>
      <c r="N10" s="1750"/>
      <c r="O10" s="1750"/>
      <c r="P10" s="1750"/>
      <c r="Q10" s="1750"/>
      <c r="R10" s="1750"/>
      <c r="S10" s="1750"/>
      <c r="T10" s="1750"/>
      <c r="U10" s="1750"/>
      <c r="V10" s="1750"/>
    </row>
    <row r="11" spans="1:22" ht="14.25">
      <c r="A11" s="4008"/>
      <c r="B11" s="4009"/>
      <c r="C11" s="4019"/>
      <c r="D11" s="4020"/>
      <c r="E11" s="252" t="s">
        <v>277</v>
      </c>
      <c r="F11" s="253"/>
      <c r="G11" s="253"/>
      <c r="H11" s="253"/>
      <c r="I11" s="254"/>
      <c r="J11" s="1751"/>
      <c r="K11" s="1750"/>
      <c r="L11" s="1750"/>
      <c r="M11" s="1750"/>
      <c r="N11" s="1750"/>
      <c r="O11" s="1750"/>
      <c r="P11" s="1750"/>
      <c r="Q11" s="1750"/>
      <c r="R11" s="1750"/>
      <c r="S11" s="1750"/>
      <c r="T11" s="1750"/>
      <c r="U11" s="1750"/>
      <c r="V11" s="1750"/>
    </row>
    <row r="12" spans="1:22" ht="14.25">
      <c r="A12" s="4008" t="s">
        <v>278</v>
      </c>
      <c r="B12" s="4009">
        <v>15</v>
      </c>
      <c r="C12" s="4017">
        <v>9</v>
      </c>
      <c r="D12" s="4020">
        <v>12</v>
      </c>
      <c r="E12" s="252" t="s">
        <v>279</v>
      </c>
      <c r="F12" s="253"/>
      <c r="G12" s="253"/>
      <c r="H12" s="253"/>
      <c r="I12" s="254"/>
      <c r="J12" s="1751"/>
      <c r="K12" s="1750"/>
      <c r="L12" s="1750"/>
      <c r="M12" s="1750"/>
      <c r="N12" s="1750"/>
      <c r="O12" s="1750"/>
      <c r="P12" s="1750"/>
      <c r="Q12" s="1750"/>
      <c r="R12" s="1750"/>
      <c r="S12" s="1750"/>
      <c r="T12" s="1750"/>
      <c r="U12" s="1750"/>
      <c r="V12" s="1750"/>
    </row>
    <row r="13" spans="1:22" ht="14.25">
      <c r="A13" s="4008"/>
      <c r="B13" s="4009"/>
      <c r="C13" s="4019"/>
      <c r="D13" s="4020"/>
      <c r="E13" s="252" t="s">
        <v>280</v>
      </c>
      <c r="F13" s="253"/>
      <c r="G13" s="253"/>
      <c r="H13" s="253"/>
      <c r="I13" s="254"/>
      <c r="J13" s="1751"/>
      <c r="K13" s="1750"/>
      <c r="L13" s="1750"/>
      <c r="M13" s="1750"/>
      <c r="N13" s="1750"/>
      <c r="O13" s="1750"/>
      <c r="P13" s="1750"/>
      <c r="Q13" s="1750"/>
      <c r="R13" s="1750"/>
      <c r="S13" s="1750"/>
      <c r="T13" s="1750"/>
      <c r="U13" s="1750"/>
      <c r="V13" s="1750"/>
    </row>
    <row r="14" spans="1:22" ht="14.25">
      <c r="A14" s="4008" t="s">
        <v>281</v>
      </c>
      <c r="B14" s="4009">
        <v>30</v>
      </c>
      <c r="C14" s="4017">
        <v>18</v>
      </c>
      <c r="D14" s="4020">
        <v>20</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4008"/>
      <c r="B15" s="4009"/>
      <c r="C15" s="4018"/>
      <c r="D15" s="4020"/>
      <c r="E15" s="252" t="s">
        <v>283</v>
      </c>
      <c r="F15" s="253"/>
      <c r="G15" s="253"/>
      <c r="H15" s="253"/>
      <c r="I15" s="254"/>
      <c r="J15" s="1751"/>
      <c r="K15" s="1750"/>
      <c r="L15" s="1750"/>
      <c r="M15" s="1750"/>
      <c r="N15" s="1750"/>
      <c r="O15" s="1750"/>
      <c r="P15" s="1750"/>
      <c r="Q15" s="1750"/>
      <c r="R15" s="1750"/>
      <c r="S15" s="1750"/>
      <c r="T15" s="1750"/>
      <c r="U15" s="1750"/>
      <c r="V15" s="1750"/>
    </row>
    <row r="16" spans="1:22" ht="14.25">
      <c r="A16" s="4008"/>
      <c r="B16" s="4009"/>
      <c r="C16" s="4019"/>
      <c r="D16" s="402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57</v>
      </c>
      <c r="D17" s="256">
        <f>SUM(D5:D16)</f>
        <v>84</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0.4</v>
      </c>
      <c r="D18" s="258">
        <f>1-C18</f>
        <v>0.6</v>
      </c>
      <c r="E18" s="4022" t="s">
        <v>2252</v>
      </c>
      <c r="F18" s="4023"/>
      <c r="G18" s="4023"/>
      <c r="H18" s="4023"/>
      <c r="I18" s="402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3048</v>
      </c>
      <c r="D19" s="262">
        <f ca="1">SUMIF(INDIRECT("'"&amp;D4&amp;"'"&amp;"!A:A"),结果表!B19,INDIRECT("'"&amp;D4&amp;"'"&amp;"!B:B"))</f>
        <v>5070.1166284904521</v>
      </c>
      <c r="E19" s="259" t="s">
        <v>289</v>
      </c>
      <c r="F19" s="260" t="s">
        <v>288</v>
      </c>
      <c r="G19" s="263">
        <f ca="1">ROUND(C19*$C$18+D19*$D$18,0)</f>
        <v>4261</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1378</v>
      </c>
      <c r="D20" s="268">
        <f ca="1">SUMIF(INDIRECT("'"&amp;D4&amp;"'"&amp;"!A:A"),结果表!B20,INDIRECT("'"&amp;D4&amp;"'"&amp;"!B:B"))</f>
        <v>2292</v>
      </c>
      <c r="E20" s="265"/>
      <c r="F20" s="266" t="s">
        <v>291</v>
      </c>
      <c r="G20" s="269">
        <f ca="1">ROUND(C20*$C$18+D20*$D$18,0)</f>
        <v>1926</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1378</v>
      </c>
      <c r="D21" s="144">
        <f ca="1">SUMIF(INDIRECT("'"&amp;D4&amp;"'"&amp;"!A:A"),结果表!B21,INDIRECT("'"&amp;D4&amp;"'"&amp;"!B:B"))</f>
        <v>2292</v>
      </c>
      <c r="E21" s="265"/>
      <c r="F21" s="271" t="s">
        <v>293</v>
      </c>
      <c r="G21" s="273">
        <f ca="1">ROUND(C21*$C$18+D21*$D$18,0)</f>
        <v>1926</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0.66342409071209052</v>
      </c>
      <c r="E22" s="275"/>
      <c r="F22" s="276"/>
      <c r="G22" s="277">
        <f ca="1">ROUND(G19/('数据-汇总表'!D3/666.67),0)</f>
        <v>128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981"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4028"/>
      <c r="B25" s="1188" t="s">
        <v>297</v>
      </c>
      <c r="C25" s="281">
        <f>IF(B30=0,0,C30)</f>
        <v>0</v>
      </c>
      <c r="D25" s="282"/>
      <c r="E25" s="302"/>
      <c r="F25" s="302"/>
      <c r="G25" s="302"/>
      <c r="H25" s="302"/>
      <c r="I25" s="302"/>
      <c r="J25" s="1750"/>
      <c r="K25" s="1122" t="str">
        <f ca="1">项目基本情况!A17&amp;"国有建设用地使用权价格："&amp;O38&amp;"万元"</f>
        <v>划拨国有建设用地使用权价格：4261万元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大写金额：人民币肆仟贰佰陆拾壹万元整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单位面积地价：1926元/平方米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楼面地价：1926元/平方米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024" t="s">
        <v>2254</v>
      </c>
      <c r="B31" s="4024"/>
      <c r="C31" s="4024"/>
      <c r="D31" s="4024"/>
      <c r="E31" s="4024"/>
      <c r="F31" s="4024"/>
      <c r="G31" s="4024"/>
      <c r="H31" s="4024"/>
      <c r="I31" s="4024"/>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4261</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1926</v>
      </c>
      <c r="D33" s="1238" t="s">
        <v>1224</v>
      </c>
      <c r="E33" s="3981"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1926</v>
      </c>
      <c r="D34" s="1240" t="s">
        <v>1224</v>
      </c>
      <c r="E34" s="3982"/>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128</v>
      </c>
      <c r="D35" s="1243" t="s">
        <v>1226</v>
      </c>
      <c r="E35" s="3983"/>
      <c r="F35" s="292" t="s">
        <v>308</v>
      </c>
      <c r="G35" s="942"/>
      <c r="H35" s="941" t="s">
        <v>309</v>
      </c>
      <c r="I35" s="302"/>
      <c r="J35" s="1750"/>
      <c r="K35" s="3987" t="s">
        <v>316</v>
      </c>
      <c r="L35" s="3987" t="s">
        <v>317</v>
      </c>
      <c r="M35" s="1131" t="s">
        <v>318</v>
      </c>
      <c r="N35" s="3987" t="s">
        <v>319</v>
      </c>
      <c r="O35" s="3987" t="s">
        <v>320</v>
      </c>
      <c r="P35" s="1750"/>
      <c r="V35" s="1750"/>
    </row>
    <row r="36" spans="1:26" ht="16.5" customHeight="1">
      <c r="A36" s="294" t="s">
        <v>310</v>
      </c>
      <c r="B36" s="295" t="s">
        <v>299</v>
      </c>
      <c r="C36" s="296" t="s">
        <v>311</v>
      </c>
      <c r="D36" s="296" t="s">
        <v>312</v>
      </c>
      <c r="E36" s="297" t="s">
        <v>313</v>
      </c>
      <c r="F36" s="302"/>
      <c r="G36" s="302"/>
      <c r="H36" s="302"/>
      <c r="I36" s="302"/>
      <c r="J36" s="1752"/>
      <c r="K36" s="3988"/>
      <c r="L36" s="3988"/>
      <c r="M36" s="1133" t="s">
        <v>321</v>
      </c>
      <c r="N36" s="3988"/>
      <c r="O36" s="3988"/>
      <c r="P36" s="1750"/>
      <c r="V36" s="1750"/>
    </row>
    <row r="37" spans="1:26" ht="16.5" customHeight="1" thickBot="1">
      <c r="A37" s="1127" t="s">
        <v>314</v>
      </c>
      <c r="B37" s="298"/>
      <c r="C37" s="285"/>
      <c r="D37" s="285"/>
      <c r="E37" s="286"/>
      <c r="F37" s="302"/>
      <c r="G37" s="302"/>
      <c r="H37" s="302"/>
      <c r="I37" s="302"/>
      <c r="J37" s="1752"/>
      <c r="K37" s="3989"/>
      <c r="L37" s="3989"/>
      <c r="M37" s="1134"/>
      <c r="N37" s="3989"/>
      <c r="O37" s="3989"/>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1926</v>
      </c>
      <c r="N38" s="1136">
        <f ca="1">C33</f>
        <v>1926</v>
      </c>
      <c r="O38" s="1137">
        <f ca="1">C32</f>
        <v>4261</v>
      </c>
      <c r="P38" s="1750"/>
      <c r="V38" s="1750"/>
    </row>
    <row r="39" spans="1:26" ht="16.5" customHeight="1" thickBot="1">
      <c r="A39" s="1132"/>
      <c r="B39" s="299"/>
      <c r="C39" s="300"/>
      <c r="D39" s="300"/>
      <c r="E39" s="301"/>
      <c r="F39" s="302"/>
      <c r="G39" s="302"/>
      <c r="H39" s="302"/>
      <c r="I39" s="302"/>
      <c r="J39" s="1752"/>
      <c r="K39" s="4000" t="str">
        <f>MID(A44,3,LEN(A44)-2)</f>
        <v/>
      </c>
      <c r="L39" s="4001"/>
      <c r="M39" s="4001"/>
      <c r="N39" s="4002"/>
      <c r="O39" s="1245" t="str">
        <f>C44</f>
        <v>——</v>
      </c>
      <c r="P39" s="1750"/>
      <c r="V39" s="1750"/>
    </row>
    <row r="40" spans="1:26" ht="19.5" thickBot="1">
      <c r="A40" s="100" t="s">
        <v>810</v>
      </c>
      <c r="B40" s="302"/>
      <c r="C40" s="302"/>
      <c r="D40" s="302"/>
      <c r="E40" s="302"/>
      <c r="F40" s="302"/>
      <c r="G40" s="302"/>
      <c r="H40" s="302"/>
      <c r="I40" s="302"/>
      <c r="J40" s="1752"/>
      <c r="K40" s="4000" t="str">
        <f>MID(A45,3,LEN(A45)-2)</f>
        <v/>
      </c>
      <c r="L40" s="4001"/>
      <c r="M40" s="4001"/>
      <c r="N40" s="4002"/>
      <c r="O40" s="1245" t="str">
        <f>C45</f>
        <v>——</v>
      </c>
      <c r="P40" s="1750"/>
      <c r="V40" s="1750"/>
    </row>
    <row r="41" spans="1:26" ht="16.5" thickBot="1">
      <c r="A41" s="303" t="s">
        <v>322</v>
      </c>
      <c r="B41" s="304"/>
      <c r="C41" s="305" t="s">
        <v>323</v>
      </c>
      <c r="D41" s="306" t="s">
        <v>324</v>
      </c>
      <c r="E41" s="306" t="s">
        <v>325</v>
      </c>
      <c r="F41" s="307" t="s">
        <v>326</v>
      </c>
      <c r="G41" s="302"/>
      <c r="H41" s="302"/>
      <c r="I41" s="302"/>
      <c r="J41" s="1752"/>
      <c r="K41" s="4000" t="str">
        <f>MID(A46,3,LEN(A46)-2)</f>
        <v/>
      </c>
      <c r="L41" s="4001"/>
      <c r="M41" s="4001"/>
      <c r="N41" s="4002"/>
      <c r="O41" s="1245" t="str">
        <f>C46</f>
        <v>——</v>
      </c>
      <c r="P41" s="1750"/>
      <c r="V41" s="1750"/>
    </row>
    <row r="42" spans="1:26" ht="29.25">
      <c r="A42" s="4029" t="s">
        <v>1585</v>
      </c>
      <c r="B42" s="4030"/>
      <c r="C42" s="255">
        <f ca="1">C32</f>
        <v>4261</v>
      </c>
      <c r="D42" s="308">
        <f ca="1">C33</f>
        <v>1926</v>
      </c>
      <c r="E42" s="308">
        <f ca="1">C34</f>
        <v>1926</v>
      </c>
      <c r="F42" s="309">
        <f ca="1">C35</f>
        <v>128</v>
      </c>
      <c r="G42" s="302"/>
      <c r="H42" s="302"/>
      <c r="I42" s="310"/>
      <c r="J42" s="1752"/>
      <c r="K42" s="1138" t="s">
        <v>327</v>
      </c>
      <c r="L42" s="1769" t="s">
        <v>328</v>
      </c>
      <c r="M42" s="1139" t="s">
        <v>329</v>
      </c>
      <c r="N42" s="1770" t="s">
        <v>330</v>
      </c>
      <c r="O42" s="1771" t="s">
        <v>331</v>
      </c>
      <c r="P42" s="1750"/>
      <c r="V42" s="1750"/>
    </row>
    <row r="43" spans="1:26" ht="18">
      <c r="A43" s="4039" t="s">
        <v>2012</v>
      </c>
      <c r="B43" s="4040"/>
      <c r="C43" s="255">
        <f>IF(H33="正常操作",G33+G34+G35,G34+G35)</f>
        <v>0</v>
      </c>
      <c r="D43" s="308" t="s">
        <v>17</v>
      </c>
      <c r="E43" s="308" t="s">
        <v>18</v>
      </c>
      <c r="F43" s="309" t="s">
        <v>18</v>
      </c>
      <c r="G43" s="2344" t="s">
        <v>877</v>
      </c>
      <c r="H43" s="302"/>
      <c r="I43" s="310"/>
      <c r="J43" s="1752"/>
      <c r="K43" s="1140" t="str">
        <f>C4</f>
        <v>基准地价</v>
      </c>
      <c r="L43" s="1141">
        <f ca="1">IF(L42="估价结果/万元",C19,C20)</f>
        <v>3048</v>
      </c>
      <c r="M43" s="1142">
        <f>C18</f>
        <v>0.4</v>
      </c>
      <c r="N43" s="1143">
        <f ca="1">IF(N42="测算结果/万元",G19,G20)</f>
        <v>4261</v>
      </c>
      <c r="O43" s="1144">
        <f ca="1">IF(O42="最终结果/万元",C32,C33)</f>
        <v>4261</v>
      </c>
      <c r="P43" s="1750"/>
      <c r="V43" s="1750"/>
    </row>
    <row r="44" spans="1:26" ht="18.75" thickBot="1">
      <c r="A44" s="4029" t="str">
        <f>IF(OR(项目基本情况!E8="抵押价格",项目基本情况!E8="已注销及未注销"),"3.抵押价格","——")</f>
        <v>——</v>
      </c>
      <c r="B44" s="4030"/>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0.6</v>
      </c>
      <c r="N44" s="1148"/>
      <c r="O44" s="1149"/>
      <c r="P44" s="1750"/>
      <c r="V44" s="1750"/>
    </row>
    <row r="45" spans="1:26" ht="15">
      <c r="A45" s="4034" t="str">
        <f>IF(项目基本情况!E8="已注销及未注销","4.抵押担保权已注销时的抵押价格",IF(项目基本情况!E8="已注销","3.抵押担保权已注销时的抵押价格","——"))</f>
        <v>——</v>
      </c>
      <c r="B45" s="403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4031" t="str">
        <f>IF(项目基本情况!E9="抵押净值",IF(A45="——","4.抵押净值","5.抵押净值"),"——")</f>
        <v>——</v>
      </c>
      <c r="B46" s="4032"/>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992" t="s">
        <v>340</v>
      </c>
      <c r="B63" s="3993"/>
      <c r="C63" s="3994"/>
      <c r="D63" s="332">
        <f ca="1">ROUND(C42*F63,0)</f>
        <v>4261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4036" t="s">
        <v>344</v>
      </c>
      <c r="B64" s="4037"/>
      <c r="C64" s="4037"/>
      <c r="D64" s="4037"/>
      <c r="E64" s="4037"/>
      <c r="F64" s="4037"/>
      <c r="G64" s="4038"/>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4033" t="s">
        <v>352</v>
      </c>
      <c r="B66" s="3999"/>
      <c r="C66" s="3999"/>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960" t="s">
        <v>351</v>
      </c>
      <c r="M66" s="3961"/>
      <c r="N66" s="2108"/>
      <c r="O66" s="2109"/>
      <c r="P66" s="2110"/>
      <c r="Q66" s="1750"/>
      <c r="R66" s="1750"/>
      <c r="S66" s="1750"/>
      <c r="T66" s="1750"/>
      <c r="U66" s="1750"/>
      <c r="V66" s="1750"/>
    </row>
    <row r="67" spans="1:22" ht="25.5" customHeight="1">
      <c r="A67" s="343" t="s">
        <v>355</v>
      </c>
      <c r="B67" s="4011" t="s">
        <v>356</v>
      </c>
      <c r="C67" s="4011"/>
      <c r="D67" s="344">
        <v>0</v>
      </c>
      <c r="E67" s="39" t="s">
        <v>357</v>
      </c>
      <c r="F67" s="60" t="s">
        <v>15</v>
      </c>
      <c r="G67" s="3995"/>
      <c r="H67" s="2747" t="s">
        <v>2255</v>
      </c>
      <c r="I67" s="2749"/>
      <c r="J67" s="1757"/>
      <c r="K67" s="1729">
        <v>2</v>
      </c>
      <c r="L67" s="3965" t="s">
        <v>354</v>
      </c>
      <c r="M67" s="3965"/>
      <c r="N67" s="1192">
        <f>'数据-取费表'!B2</f>
        <v>45173</v>
      </c>
      <c r="O67" s="1192"/>
      <c r="P67" s="1192"/>
      <c r="Q67" s="1750"/>
      <c r="R67" s="1750"/>
      <c r="S67" s="1750"/>
      <c r="T67" s="1750"/>
      <c r="U67" s="1750"/>
      <c r="V67" s="1750"/>
    </row>
    <row r="68" spans="1:22" ht="25.5" customHeight="1">
      <c r="A68" s="345"/>
      <c r="B68" s="4011" t="s">
        <v>359</v>
      </c>
      <c r="C68" s="4011"/>
      <c r="D68" s="346"/>
      <c r="E68" s="75"/>
      <c r="F68" s="347"/>
      <c r="G68" s="3996"/>
      <c r="H68" s="2748" t="s">
        <v>2256</v>
      </c>
      <c r="I68" s="2749"/>
      <c r="J68" s="1757"/>
      <c r="K68" s="1729">
        <v>3</v>
      </c>
      <c r="L68" s="3965" t="s">
        <v>358</v>
      </c>
      <c r="M68" s="3965"/>
      <c r="N68" s="1160">
        <f ca="1">C42</f>
        <v>4261</v>
      </c>
      <c r="O68" s="1160"/>
      <c r="P68" s="1160"/>
      <c r="Q68" s="1750"/>
      <c r="R68" s="1750"/>
      <c r="S68" s="1750"/>
      <c r="T68" s="1750"/>
      <c r="U68" s="1750"/>
      <c r="V68" s="1750"/>
    </row>
    <row r="69" spans="1:22" ht="23.45" customHeight="1">
      <c r="A69" s="348"/>
      <c r="B69" s="4011" t="s">
        <v>360</v>
      </c>
      <c r="C69" s="4011"/>
      <c r="D69" s="349"/>
      <c r="E69" s="71"/>
      <c r="F69" s="347"/>
      <c r="G69" s="3997"/>
      <c r="H69" s="2748" t="s">
        <v>2257</v>
      </c>
      <c r="I69" s="2749"/>
      <c r="J69" s="1757"/>
      <c r="K69" s="1161">
        <v>4</v>
      </c>
      <c r="L69" s="3966" t="s">
        <v>2157</v>
      </c>
      <c r="M69" s="3967"/>
      <c r="N69" s="1162" t="str">
        <f>C44</f>
        <v>——</v>
      </c>
      <c r="O69" s="1162"/>
      <c r="P69" s="1162"/>
      <c r="Q69" s="1750"/>
      <c r="R69" s="1750"/>
      <c r="S69" s="1750"/>
      <c r="T69" s="1750"/>
      <c r="U69" s="1750"/>
      <c r="V69" s="1750"/>
    </row>
    <row r="70" spans="1:22" ht="24" customHeight="1">
      <c r="A70" s="350" t="s">
        <v>361</v>
      </c>
      <c r="B70" s="4011" t="s">
        <v>362</v>
      </c>
      <c r="C70" s="4011"/>
      <c r="D70" s="349">
        <f ca="1">ROUND(D63*'数据-取费表'!B41/(1+'数据-取费表'!C42),0)</f>
        <v>223</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4010" t="s">
        <v>2284</v>
      </c>
      <c r="C71" s="4027"/>
      <c r="D71" s="349">
        <f ca="1">ROUND(D63*'数据-取费表'!B41/(1+'数据-取费表'!C42),0)</f>
        <v>223</v>
      </c>
      <c r="E71" s="15" t="s">
        <v>363</v>
      </c>
      <c r="F71" s="351">
        <f>'数据-取费表'!B41</f>
        <v>5.5000000000000007E-2</v>
      </c>
      <c r="G71" s="352"/>
      <c r="H71" s="302"/>
      <c r="I71" s="1159"/>
      <c r="J71" s="1757"/>
      <c r="K71" s="2519" t="s">
        <v>364</v>
      </c>
      <c r="L71" s="3968" t="s">
        <v>365</v>
      </c>
      <c r="M71" s="3968"/>
      <c r="N71" s="2519" t="s">
        <v>366</v>
      </c>
      <c r="O71" s="2519" t="s">
        <v>367</v>
      </c>
      <c r="P71" s="2519" t="s">
        <v>368</v>
      </c>
      <c r="Q71" s="1750"/>
      <c r="R71" s="1750"/>
      <c r="S71" s="1750"/>
      <c r="T71" s="1750"/>
      <c r="U71" s="1750"/>
      <c r="V71" s="1750"/>
    </row>
    <row r="72" spans="1:22" ht="12" customHeight="1">
      <c r="A72" s="350" t="s">
        <v>371</v>
      </c>
      <c r="B72" s="4010" t="s">
        <v>2285</v>
      </c>
      <c r="C72" s="4027"/>
      <c r="D72" s="349">
        <f ca="1">C86</f>
        <v>223</v>
      </c>
      <c r="E72" s="71" t="s">
        <v>372</v>
      </c>
      <c r="F72" s="351">
        <f>'数据-取费表'!B41</f>
        <v>5.5000000000000007E-2</v>
      </c>
      <c r="G72" s="352"/>
      <c r="H72" s="1165"/>
      <c r="I72" s="1159"/>
      <c r="J72" s="1757"/>
      <c r="K72" s="1729">
        <v>1</v>
      </c>
      <c r="L72" s="3964" t="s">
        <v>370</v>
      </c>
      <c r="M72" s="3964"/>
      <c r="N72" s="1163" t="b">
        <f>D66</f>
        <v>0</v>
      </c>
      <c r="O72" s="1634" t="str">
        <f>E66</f>
        <v>销售额×税（费）率</v>
      </c>
      <c r="P72" s="1164">
        <f>F66</f>
        <v>5.5000000000000007E-2</v>
      </c>
      <c r="Q72" s="1750"/>
      <c r="R72" s="1750"/>
      <c r="S72" s="1750"/>
      <c r="T72" s="1750"/>
      <c r="U72" s="1750"/>
      <c r="V72" s="1750"/>
    </row>
    <row r="73" spans="1:22" ht="24" customHeight="1">
      <c r="A73" s="3998" t="s">
        <v>374</v>
      </c>
      <c r="B73" s="3999"/>
      <c r="C73" s="3999"/>
      <c r="D73" s="353">
        <f ca="1">IF(H73="个人住宅",0,ROUND(D63*I73,0))</f>
        <v>2</v>
      </c>
      <c r="E73" s="15" t="s">
        <v>375</v>
      </c>
      <c r="F73" s="351" t="str">
        <f>IF(H73="正常",I73,"免征")</f>
        <v>免征</v>
      </c>
      <c r="G73" s="352"/>
      <c r="H73" s="184"/>
      <c r="I73" s="351">
        <f>'数据-取费表'!B49</f>
        <v>5.0000000000000001E-4</v>
      </c>
      <c r="J73" s="1757"/>
      <c r="K73" s="1729">
        <v>2</v>
      </c>
      <c r="L73" s="3964" t="s">
        <v>373</v>
      </c>
      <c r="M73" s="3964"/>
      <c r="N73" s="1163">
        <f t="shared" ref="N73:P74" ca="1" si="0">D73</f>
        <v>2</v>
      </c>
      <c r="O73" s="1634" t="str">
        <f t="shared" si="0"/>
        <v>销售额×税（费）率</v>
      </c>
      <c r="P73" s="1164" t="str">
        <f t="shared" si="0"/>
        <v>免征</v>
      </c>
      <c r="Q73" s="1750"/>
      <c r="R73" s="1750"/>
      <c r="S73" s="1750"/>
      <c r="T73" s="1750"/>
      <c r="U73" s="1750"/>
      <c r="V73" s="1750"/>
    </row>
    <row r="74" spans="1:22" ht="24.75">
      <c r="A74" s="3998" t="s">
        <v>377</v>
      </c>
      <c r="B74" s="3999"/>
      <c r="C74" s="3999"/>
      <c r="D74" s="353">
        <f ca="1">IF(H74="个人住宅",D75,D76)</f>
        <v>2416</v>
      </c>
      <c r="E74" s="15" t="s">
        <v>378</v>
      </c>
      <c r="F74" s="351" t="str">
        <f>IF(H74="正常",F76,"免征")</f>
        <v>免征</v>
      </c>
      <c r="G74" s="943" t="s">
        <v>379</v>
      </c>
      <c r="H74" s="354"/>
      <c r="I74" s="40"/>
      <c r="J74" s="1757"/>
      <c r="K74" s="1729">
        <v>3</v>
      </c>
      <c r="L74" s="3964" t="s">
        <v>376</v>
      </c>
      <c r="M74" s="3964"/>
      <c r="N74" s="1163">
        <f t="shared" ca="1" si="0"/>
        <v>2416</v>
      </c>
      <c r="O74" s="1634" t="str">
        <f t="shared" si="0"/>
        <v>增值额×税（费）率</v>
      </c>
      <c r="P74" s="1166" t="str">
        <f t="shared" si="0"/>
        <v>免征</v>
      </c>
      <c r="Q74" s="1750"/>
      <c r="R74" s="1750"/>
      <c r="S74" s="1750"/>
      <c r="T74" s="1750"/>
      <c r="U74" s="1750"/>
      <c r="V74" s="1750"/>
    </row>
    <row r="75" spans="1:22" ht="12.75">
      <c r="A75" s="350" t="s">
        <v>380</v>
      </c>
      <c r="B75" s="3979" t="s">
        <v>381</v>
      </c>
      <c r="C75" s="3980"/>
      <c r="D75" s="355">
        <v>0</v>
      </c>
      <c r="E75" s="39" t="s">
        <v>382</v>
      </c>
      <c r="F75" s="356"/>
      <c r="G75" s="352"/>
      <c r="H75" s="40"/>
      <c r="I75" s="40"/>
      <c r="J75" s="1757"/>
      <c r="K75" s="2513">
        <f>IF(H77="非个人房产","",4)</f>
        <v>4</v>
      </c>
      <c r="L75" s="3964" t="str">
        <f>IF(H77="非个人房产","——","个人所得税")</f>
        <v>个人所得税</v>
      </c>
      <c r="M75" s="3964"/>
      <c r="N75" s="1167">
        <f>D77</f>
        <v>0</v>
      </c>
      <c r="O75" s="1635" t="str">
        <f>E77</f>
        <v>差额计税</v>
      </c>
      <c r="P75" s="1168">
        <f>F77</f>
        <v>0.01</v>
      </c>
      <c r="Q75" s="1750"/>
      <c r="R75" s="1750"/>
      <c r="S75" s="1750"/>
      <c r="T75" s="1750"/>
      <c r="U75" s="1750"/>
      <c r="V75" s="1750"/>
    </row>
    <row r="76" spans="1:22" ht="24.75">
      <c r="A76" s="350" t="s">
        <v>361</v>
      </c>
      <c r="B76" s="3979" t="s">
        <v>384</v>
      </c>
      <c r="C76" s="4021"/>
      <c r="D76" s="353">
        <f ca="1">IF(H76="转让取得",C99,C115)</f>
        <v>2416</v>
      </c>
      <c r="E76" s="15" t="s">
        <v>385</v>
      </c>
      <c r="F76" s="51" t="s">
        <v>15</v>
      </c>
      <c r="G76" s="352"/>
      <c r="H76" s="354"/>
      <c r="I76" s="40"/>
      <c r="J76" s="1757"/>
      <c r="K76" s="2513" t="str">
        <f>IF(项目基本情况!K6="上海银行",IF(K75="",4,K75+1),"")</f>
        <v/>
      </c>
      <c r="L76" s="3975" t="str">
        <f>IF(项目基本情况!K6="上海银行","其他处置费用","")</f>
        <v/>
      </c>
      <c r="M76" s="3976"/>
      <c r="N76" s="1163" t="str">
        <f>IF(项目基本情况!K6="上海银行",N89,"")</f>
        <v/>
      </c>
      <c r="O76" s="3977" t="str">
        <f>IF(项目基本情况!K6="上海银行","包含处置中涉及的律师、诉讼、拍卖、评估等费用","")</f>
        <v/>
      </c>
      <c r="P76" s="3978"/>
      <c r="Q76" s="1750"/>
      <c r="R76" s="1750"/>
      <c r="S76" s="1750"/>
      <c r="T76" s="1750"/>
      <c r="U76" s="1750"/>
      <c r="V76" s="1750"/>
    </row>
    <row r="77" spans="1:22" ht="24.75" thickBot="1">
      <c r="A77" s="3990" t="s">
        <v>387</v>
      </c>
      <c r="B77" s="3991"/>
      <c r="C77" s="3991"/>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3986">
        <f>IF(AND(K75="",K76=""),4,IF(项目基本情况!K6="上海银行",K76+1,K75+1))</f>
        <v>5</v>
      </c>
      <c r="L77" s="3964" t="s">
        <v>2158</v>
      </c>
      <c r="M77" s="2518" t="s">
        <v>383</v>
      </c>
      <c r="N77" s="1169"/>
      <c r="O77" s="1170">
        <f ca="1">SUMIF(N72:N76,"&lt;9e307")</f>
        <v>2418</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986"/>
      <c r="L78" s="3964"/>
      <c r="M78" s="2518" t="s">
        <v>386</v>
      </c>
      <c r="N78" s="1169"/>
      <c r="O78" s="1170" t="str">
        <f ca="1">NUMBERSTRING(INT(O77*10000),2)&amp;"元整"</f>
        <v>贰仟肆佰壹拾捌万元整</v>
      </c>
      <c r="P78" s="1171"/>
      <c r="Q78" s="1750"/>
      <c r="R78" s="1750"/>
      <c r="S78" s="1750"/>
      <c r="T78" s="1750"/>
      <c r="U78" s="1750"/>
      <c r="V78" s="1750"/>
    </row>
    <row r="79" spans="1:22" ht="13.5" thickBot="1">
      <c r="A79" s="4041" t="s">
        <v>388</v>
      </c>
      <c r="B79" s="4041"/>
      <c r="C79" s="4041"/>
      <c r="D79" s="4041"/>
      <c r="E79" s="4041"/>
      <c r="F79" s="40"/>
      <c r="G79" s="40"/>
      <c r="H79" s="963"/>
      <c r="I79" s="302"/>
      <c r="J79" s="1757"/>
      <c r="K79" s="3962">
        <f>K77+1</f>
        <v>6</v>
      </c>
      <c r="L79" s="3964" t="s">
        <v>2159</v>
      </c>
      <c r="M79" s="2518" t="s">
        <v>383</v>
      </c>
      <c r="N79" s="1169"/>
      <c r="O79" s="1170" t="e">
        <f ca="1">N69-O77</f>
        <v>#VALUE!</v>
      </c>
      <c r="P79" s="1171"/>
      <c r="Q79" s="1750"/>
      <c r="R79" s="1750"/>
      <c r="S79" s="1750"/>
      <c r="T79" s="1750"/>
      <c r="U79" s="1750"/>
      <c r="V79" s="1750"/>
    </row>
    <row r="80" spans="1:22" ht="12.75">
      <c r="A80" s="3972" t="s">
        <v>389</v>
      </c>
      <c r="B80" s="3973"/>
      <c r="C80" s="954"/>
      <c r="D80" s="954" t="s">
        <v>390</v>
      </c>
      <c r="E80" s="357" t="s">
        <v>391</v>
      </c>
      <c r="F80" s="40"/>
      <c r="G80" s="40"/>
      <c r="H80" s="963"/>
      <c r="I80" s="302"/>
      <c r="J80" s="1750"/>
      <c r="K80" s="3963"/>
      <c r="L80" s="3964"/>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4058</v>
      </c>
      <c r="D81" s="360"/>
      <c r="E81" s="361"/>
      <c r="F81" s="40"/>
      <c r="G81" s="40"/>
      <c r="H81" s="963"/>
      <c r="I81" s="302"/>
      <c r="J81" s="1750"/>
      <c r="K81" s="2513">
        <f>K79+1</f>
        <v>7</v>
      </c>
      <c r="L81" s="3984" t="s">
        <v>2160</v>
      </c>
      <c r="M81" s="3985"/>
      <c r="N81" s="1173"/>
      <c r="O81" s="1174" t="e">
        <f ca="1">ROUND(O79*10000/'数据-汇总表'!E3,0)</f>
        <v>#VALUE!</v>
      </c>
      <c r="P81" s="1175"/>
      <c r="Q81" s="1750"/>
      <c r="R81" s="1750"/>
      <c r="S81" s="1750"/>
      <c r="T81" s="1750"/>
      <c r="U81" s="1750"/>
      <c r="V81" s="1750"/>
    </row>
    <row r="82" spans="1:26" ht="13.5" thickTop="1">
      <c r="A82" s="362" t="s">
        <v>1353</v>
      </c>
      <c r="B82" s="363" t="s">
        <v>393</v>
      </c>
      <c r="C82" s="364">
        <f ca="1">D63</f>
        <v>4261</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974"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3974"/>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4058</v>
      </c>
      <c r="D85" s="365" t="s">
        <v>13</v>
      </c>
      <c r="E85" s="366"/>
      <c r="F85" s="40"/>
      <c r="G85" s="40"/>
      <c r="H85" s="963"/>
      <c r="I85" s="302"/>
      <c r="J85" s="1750"/>
      <c r="K85" s="3974"/>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223</v>
      </c>
      <c r="D86" s="376">
        <f>'数据-取费表'!B41</f>
        <v>5.5000000000000007E-2</v>
      </c>
      <c r="E86" s="377"/>
      <c r="F86" s="40"/>
      <c r="G86" s="40"/>
      <c r="H86" s="963"/>
      <c r="I86" s="302"/>
      <c r="J86" s="1750"/>
      <c r="K86" s="3974"/>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974"/>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013" t="s">
        <v>398</v>
      </c>
      <c r="B88" s="4014"/>
      <c r="C88" s="4014"/>
      <c r="D88" s="4014"/>
      <c r="E88" s="4014"/>
      <c r="F88" s="4014"/>
      <c r="G88" s="4014"/>
      <c r="H88" s="4014"/>
      <c r="I88" s="1182"/>
      <c r="J88" s="1758"/>
      <c r="K88" s="3974"/>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972" t="s">
        <v>389</v>
      </c>
      <c r="B89" s="3973"/>
      <c r="C89" s="954"/>
      <c r="D89" s="954" t="s">
        <v>390</v>
      </c>
      <c r="E89" s="378" t="s">
        <v>399</v>
      </c>
      <c r="F89" s="379"/>
      <c r="G89" s="379"/>
      <c r="H89" s="380"/>
      <c r="I89" s="1183"/>
      <c r="J89" s="1760"/>
      <c r="K89" s="3974"/>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4058</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20</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4010" t="s">
        <v>407</v>
      </c>
      <c r="F94" s="4011"/>
      <c r="G94" s="4011"/>
      <c r="H94" s="401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20</v>
      </c>
      <c r="D96" s="393">
        <f>'数据-取费表'!B43</f>
        <v>5.000000000000001E-3</v>
      </c>
      <c r="E96" s="3969" t="s">
        <v>1780</v>
      </c>
      <c r="F96" s="3970"/>
      <c r="G96" s="3970"/>
      <c r="H96" s="3971"/>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4038</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2416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013" t="s">
        <v>414</v>
      </c>
      <c r="B101" s="4014"/>
      <c r="C101" s="4014"/>
      <c r="D101" s="4014"/>
      <c r="E101" s="4014"/>
      <c r="F101" s="4014"/>
      <c r="G101" s="4014"/>
      <c r="H101" s="4014"/>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972" t="s">
        <v>389</v>
      </c>
      <c r="B102" s="3973"/>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4058</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20</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4025" t="s">
        <v>2250</v>
      </c>
      <c r="H108" s="4026"/>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003" t="s">
        <v>422</v>
      </c>
      <c r="F109" s="3970"/>
      <c r="G109" s="397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4003" t="s">
        <v>424</v>
      </c>
      <c r="F110" s="3970"/>
      <c r="G110" s="3970"/>
      <c r="H110" s="3971"/>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20</v>
      </c>
      <c r="D111" s="393">
        <f>'数据-取费表'!B43</f>
        <v>5.000000000000001E-3</v>
      </c>
      <c r="E111" s="3969" t="s">
        <v>1780</v>
      </c>
      <c r="F111" s="3970"/>
      <c r="G111" s="3970"/>
      <c r="H111" s="3971"/>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003" t="s">
        <v>1799</v>
      </c>
      <c r="F112" s="3970"/>
      <c r="G112" s="3970"/>
      <c r="H112" s="3971"/>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4038</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2416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68" priority="21" stopIfTrue="1" operator="equal">
      <formula>25</formula>
    </cfRule>
  </conditionalFormatting>
  <conditionalFormatting sqref="C8:C9">
    <cfRule type="cellIs" dxfId="267" priority="19" stopIfTrue="1" operator="equal">
      <formula>15</formula>
    </cfRule>
  </conditionalFormatting>
  <conditionalFormatting sqref="C14:C16">
    <cfRule type="cellIs" dxfId="266" priority="13" stopIfTrue="1" operator="equal">
      <formula>30</formula>
    </cfRule>
  </conditionalFormatting>
  <conditionalFormatting sqref="D5:D7">
    <cfRule type="cellIs" dxfId="265" priority="10" stopIfTrue="1" operator="equal">
      <formula>25</formula>
    </cfRule>
  </conditionalFormatting>
  <conditionalFormatting sqref="D8:D9">
    <cfRule type="cellIs" dxfId="264" priority="9" stopIfTrue="1" operator="equal">
      <formula>15</formula>
    </cfRule>
  </conditionalFormatting>
  <conditionalFormatting sqref="C10:D13">
    <cfRule type="cellIs" dxfId="263" priority="8" stopIfTrue="1" operator="equal">
      <formula>15</formula>
    </cfRule>
  </conditionalFormatting>
  <conditionalFormatting sqref="D14:D16">
    <cfRule type="cellIs" dxfId="262" priority="6" stopIfTrue="1" operator="equal">
      <formula>30</formula>
    </cfRule>
  </conditionalFormatting>
  <conditionalFormatting sqref="C108">
    <cfRule type="expression" dxfId="261" priority="3" stopIfTrue="1">
      <formula>$H$106&lt;&gt;"仅含出让金"</formula>
    </cfRule>
  </conditionalFormatting>
  <conditionalFormatting sqref="C109">
    <cfRule type="expression" dxfId="260" priority="2" stopIfTrue="1">
      <formula>$H$109="由企业提供"</formula>
    </cfRule>
  </conditionalFormatting>
  <conditionalFormatting sqref="I33">
    <cfRule type="expression" dxfId="25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52"/>
  <sheetViews>
    <sheetView tabSelected="1" topLeftCell="A7" workbookViewId="0">
      <selection activeCell="D13" sqref="D13"/>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hidden="1">
      <c r="A1" s="3664" t="s">
        <v>3279</v>
      </c>
      <c r="B1" s="3665" t="s">
        <v>3280</v>
      </c>
      <c r="C1" s="3666" t="s">
        <v>3281</v>
      </c>
      <c r="D1" s="3664" t="s">
        <v>3282</v>
      </c>
      <c r="E1" s="3664" t="s">
        <v>3283</v>
      </c>
      <c r="F1" s="3664"/>
      <c r="G1" s="3664"/>
    </row>
    <row r="2" spans="1:8" hidden="1">
      <c r="A2" s="3664">
        <f>基准地价!C33</f>
        <v>1378</v>
      </c>
      <c r="B2" s="3665">
        <f ca="1">'剩余法-现房'!B4</f>
        <v>2292</v>
      </c>
      <c r="C2" s="3668">
        <f ca="1">ROUND(A5*(1-C5),0)</f>
        <v>1756</v>
      </c>
      <c r="D2" s="3669">
        <f ca="1">ROUND(C2/(1-1/((1+[2]不动产收益法!F40)^50)),0)</f>
        <v>1975</v>
      </c>
      <c r="E2" s="3664">
        <v>0.3</v>
      </c>
      <c r="F2" s="3664" t="s">
        <v>3284</v>
      </c>
      <c r="G2" s="3664" t="s">
        <v>3285</v>
      </c>
      <c r="H2" s="3670" t="s">
        <v>3286</v>
      </c>
    </row>
    <row r="3" spans="1:8" hidden="1">
      <c r="A3" s="3664">
        <v>0.3</v>
      </c>
      <c r="B3" s="3665">
        <f>1-A3</f>
        <v>0.7</v>
      </c>
      <c r="C3" s="3664" t="s">
        <v>3287</v>
      </c>
      <c r="D3" s="3664"/>
      <c r="E3" s="3664"/>
      <c r="F3" s="3664">
        <f ca="1">ROUND(C2*E2+C4*E4,0)</f>
        <v>4333</v>
      </c>
      <c r="G3" s="3669">
        <f ca="1">F3/15</f>
        <v>288.86666666666667</v>
      </c>
    </row>
    <row r="4" spans="1:8" hidden="1">
      <c r="A4" s="3664"/>
      <c r="B4" s="3665"/>
      <c r="C4" s="3668">
        <f>成本逼近法!B4</f>
        <v>5437</v>
      </c>
      <c r="D4" s="3664"/>
      <c r="E4" s="3664">
        <f>1-E2</f>
        <v>0.7</v>
      </c>
      <c r="F4" s="3664"/>
      <c r="G4" s="3664"/>
    </row>
    <row r="5" spans="1:8" hidden="1">
      <c r="A5" s="3667">
        <f ca="1">ROUND(A2*A3+B2*B3,0)</f>
        <v>2018</v>
      </c>
      <c r="C5" s="3671">
        <v>0.13</v>
      </c>
      <c r="E5" s="3672">
        <f ca="1">F3*'数据-汇总表'!D3/10000</f>
        <v>9585.3759399999999</v>
      </c>
    </row>
    <row r="6" spans="1:8" hidden="1">
      <c r="A6" s="3667">
        <f ca="1">A5*'[2]数据-取费表'!K16/10000</f>
        <v>4464.1792399999995</v>
      </c>
    </row>
    <row r="7" spans="1:8">
      <c r="B7" s="4043" t="s">
        <v>3288</v>
      </c>
      <c r="C7" s="4043"/>
      <c r="D7" s="4043"/>
    </row>
    <row r="8" spans="1:8">
      <c r="B8" s="3665" t="s">
        <v>3289</v>
      </c>
      <c r="C8" s="3665" t="s">
        <v>2146</v>
      </c>
      <c r="D8" s="3665" t="s">
        <v>3290</v>
      </c>
    </row>
    <row r="9" spans="1:8">
      <c r="B9" s="3665">
        <v>1</v>
      </c>
      <c r="C9" s="3665" t="s">
        <v>3291</v>
      </c>
      <c r="D9" s="3673">
        <f>E45</f>
        <v>9350.8848999999991</v>
      </c>
    </row>
    <row r="10" spans="1:8">
      <c r="B10" s="3665">
        <v>2</v>
      </c>
      <c r="C10" s="3665" t="s">
        <v>3292</v>
      </c>
      <c r="D10" s="3673">
        <f>[4]Sheet1!$F$18/10000</f>
        <v>548.98400000000004</v>
      </c>
    </row>
    <row r="11" spans="1:8">
      <c r="B11" s="3665">
        <v>3</v>
      </c>
      <c r="C11" s="3665" t="s">
        <v>3293</v>
      </c>
      <c r="D11" s="3673">
        <f>([5]Sheet1!$J$26+[4]Sheet1!$G$51)/10000</f>
        <v>62.386800000000001</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4042" t="s">
        <v>3300</v>
      </c>
      <c r="C16" s="4042"/>
      <c r="D16" s="3673">
        <f>ROUND(SUM(D9:D15),4)</f>
        <v>9994.9861999999994</v>
      </c>
    </row>
    <row r="17" spans="1:6">
      <c r="B17" s="4042" t="s">
        <v>3301</v>
      </c>
      <c r="C17" s="4042"/>
      <c r="D17" s="3665">
        <f>ROUND(D16*10000/'[1]数据-基础表'!A3,0)</f>
        <v>4518</v>
      </c>
    </row>
    <row r="18" spans="1:6">
      <c r="B18" s="4042" t="s">
        <v>3285</v>
      </c>
      <c r="C18" s="4042"/>
      <c r="D18" s="3665">
        <f>ROUND(D17/15,0)</f>
        <v>301</v>
      </c>
    </row>
    <row r="19" spans="1:6" hidden="1"/>
    <row r="20" spans="1:6" hidden="1"/>
    <row r="21" spans="1:6" hidden="1"/>
    <row r="22" spans="1:6" hidden="1">
      <c r="E22" s="3672"/>
    </row>
    <row r="23" spans="1:6" hidden="1"/>
    <row r="24" spans="1:6" hidden="1"/>
    <row r="25" spans="1:6" hidden="1"/>
    <row r="26" spans="1:6" hidden="1">
      <c r="B26" s="3667" t="s">
        <v>3860</v>
      </c>
      <c r="C26" s="3755">
        <v>0.15</v>
      </c>
    </row>
    <row r="27" spans="1:6" hidden="1">
      <c r="A27" s="3664" t="str">
        <f>A1</f>
        <v>基准地价</v>
      </c>
      <c r="B27" s="3736" t="s">
        <v>3521</v>
      </c>
      <c r="C27" s="3666" t="s">
        <v>3281</v>
      </c>
      <c r="D27" s="3664" t="s">
        <v>3283</v>
      </c>
      <c r="E27" s="3664"/>
      <c r="F27" s="3664"/>
    </row>
    <row r="28" spans="1:6" hidden="1">
      <c r="A28" s="3664">
        <f>基准地价!C33</f>
        <v>1378</v>
      </c>
      <c r="B28" s="3736">
        <f>'比较法-出让'!C45</f>
        <v>5726</v>
      </c>
      <c r="C28" s="3668">
        <f>ROUND(A31*(1-C26),0)</f>
        <v>3759</v>
      </c>
      <c r="D28" s="3664">
        <v>0.7</v>
      </c>
      <c r="E28" s="3664" t="s">
        <v>3284</v>
      </c>
      <c r="F28" s="3664" t="s">
        <v>3285</v>
      </c>
    </row>
    <row r="29" spans="1:6" hidden="1">
      <c r="A29" s="3664">
        <v>0.3</v>
      </c>
      <c r="B29" s="3736">
        <v>0.7</v>
      </c>
      <c r="C29" s="3664" t="s">
        <v>3287</v>
      </c>
      <c r="D29" s="3664"/>
      <c r="E29" s="3664">
        <f>ROUND(C28*D28+C30*D30,0)</f>
        <v>4262</v>
      </c>
      <c r="F29" s="3669">
        <f>E29/15</f>
        <v>284.13333333333333</v>
      </c>
    </row>
    <row r="30" spans="1:6" hidden="1">
      <c r="A30" s="3664"/>
      <c r="B30" s="3736"/>
      <c r="C30" s="3668">
        <f>成本逼近法!B4</f>
        <v>5437</v>
      </c>
      <c r="D30" s="3664">
        <f>1-D28</f>
        <v>0.30000000000000004</v>
      </c>
      <c r="E30" s="3664"/>
      <c r="F30" s="3664"/>
    </row>
    <row r="31" spans="1:6" hidden="1">
      <c r="A31" s="3667">
        <f>ROUND(A28*A29+B28*B29,0)</f>
        <v>4422</v>
      </c>
      <c r="E31" s="3667">
        <f>ROUND(E29*'数据-汇总表'!D3/10000,4)</f>
        <v>9428.3112000000001</v>
      </c>
    </row>
    <row r="32" spans="1:6" hidden="1"/>
    <row r="33" spans="1:6" hidden="1"/>
    <row r="34" spans="1:6" hidden="1">
      <c r="B34" s="3667" t="s">
        <v>3859</v>
      </c>
    </row>
    <row r="35" spans="1:6" hidden="1">
      <c r="C35" s="3755">
        <v>0.13</v>
      </c>
    </row>
    <row r="36" spans="1:6" hidden="1">
      <c r="A36" s="3664" t="str">
        <f>A27</f>
        <v>基准地价</v>
      </c>
      <c r="B36" s="3795" t="s">
        <v>3521</v>
      </c>
      <c r="C36" s="3666" t="s">
        <v>3281</v>
      </c>
      <c r="D36" s="3664" t="s">
        <v>3283</v>
      </c>
      <c r="E36" s="3664"/>
      <c r="F36" s="3664"/>
    </row>
    <row r="37" spans="1:6" hidden="1">
      <c r="A37" s="3664">
        <f>基准地价!C33</f>
        <v>1378</v>
      </c>
      <c r="B37" s="3807">
        <v>7100</v>
      </c>
      <c r="C37" s="3669">
        <f>ROUND(A40*(1-C35),0)</f>
        <v>4683</v>
      </c>
      <c r="D37" s="3664">
        <v>0.8</v>
      </c>
      <c r="E37" s="3664" t="s">
        <v>3284</v>
      </c>
      <c r="F37" s="3664" t="s">
        <v>3285</v>
      </c>
    </row>
    <row r="38" spans="1:6" hidden="1">
      <c r="A38" s="3664">
        <v>0.3</v>
      </c>
      <c r="B38" s="3795">
        <f>1-A38</f>
        <v>0.7</v>
      </c>
      <c r="C38" s="3664" t="s">
        <v>3287</v>
      </c>
      <c r="D38" s="3664"/>
      <c r="E38" s="3664">
        <f>ROUND(C37*D37+C39*D39,0)</f>
        <v>4226</v>
      </c>
      <c r="F38" s="3669">
        <f>E38/15</f>
        <v>281.73333333333335</v>
      </c>
    </row>
    <row r="39" spans="1:6" hidden="1">
      <c r="A39" s="3664"/>
      <c r="B39" s="3795"/>
      <c r="C39" s="3668">
        <v>2400</v>
      </c>
      <c r="D39" s="3664">
        <f>1-D37</f>
        <v>0.19999999999999996</v>
      </c>
      <c r="E39" s="3664"/>
      <c r="F39" s="3664"/>
    </row>
    <row r="40" spans="1:6" hidden="1">
      <c r="A40" s="3667">
        <f>ROUND(A37*A38+B37*B38,0)</f>
        <v>5383</v>
      </c>
      <c r="E40" s="3667">
        <f>ROUND(E38*'数据-汇总表'!D3/10000,4)</f>
        <v>9348.6726999999992</v>
      </c>
    </row>
    <row r="41" spans="1:6" hidden="1"/>
    <row r="42" spans="1:6" hidden="1"/>
    <row r="44" spans="1:6">
      <c r="A44" s="3795"/>
      <c r="B44" s="3795" t="s">
        <v>3753</v>
      </c>
      <c r="C44" s="3795" t="s">
        <v>3754</v>
      </c>
      <c r="D44" s="3795" t="s">
        <v>3755</v>
      </c>
      <c r="E44" s="3795" t="s">
        <v>3756</v>
      </c>
    </row>
    <row r="45" spans="1:6">
      <c r="A45" s="3795" t="s">
        <v>3751</v>
      </c>
      <c r="B45" s="3795">
        <v>0.7</v>
      </c>
      <c r="C45" s="3795">
        <f>'比较法-划拨'!C44</f>
        <v>4686</v>
      </c>
      <c r="D45" s="4042">
        <f>ROUND(B45*C45+B46*C46,0)</f>
        <v>4227</v>
      </c>
      <c r="E45" s="4042">
        <f>ROUND(D45*'数据-基础表'!A3/10000,4)</f>
        <v>9350.8848999999991</v>
      </c>
    </row>
    <row r="46" spans="1:6">
      <c r="A46" s="3795" t="s">
        <v>3752</v>
      </c>
      <c r="B46" s="3795">
        <f>1-B45</f>
        <v>0.30000000000000004</v>
      </c>
      <c r="C46" s="3795">
        <f>'成本逼近法 (搭配划拨)'!B3</f>
        <v>3156</v>
      </c>
      <c r="D46" s="4042"/>
      <c r="E46" s="4042"/>
    </row>
    <row r="48" spans="1:6">
      <c r="A48" s="3664" t="s">
        <v>3430</v>
      </c>
      <c r="B48" s="3835" t="s">
        <v>3732</v>
      </c>
      <c r="C48" s="3666" t="s">
        <v>3819</v>
      </c>
      <c r="D48" s="3664" t="s">
        <v>3820</v>
      </c>
      <c r="E48" s="3664"/>
      <c r="F48" s="3664"/>
    </row>
    <row r="49" spans="1:6">
      <c r="A49" s="3664"/>
      <c r="B49" s="3807">
        <f>'比较法-划拨'!C44</f>
        <v>4686</v>
      </c>
      <c r="C49" s="3669"/>
      <c r="D49" s="3664">
        <v>0.7</v>
      </c>
      <c r="E49" s="3664" t="s">
        <v>3821</v>
      </c>
      <c r="F49" s="3664" t="s">
        <v>3822</v>
      </c>
    </row>
    <row r="50" spans="1:6">
      <c r="A50" s="3664"/>
      <c r="B50" s="3835"/>
      <c r="C50" s="3664" t="s">
        <v>3823</v>
      </c>
      <c r="D50" s="3664"/>
      <c r="E50" s="3664">
        <f>ROUND(B49*D49+C51*D51,0)</f>
        <v>4227</v>
      </c>
      <c r="F50" s="3669">
        <v>282.06666666666666</v>
      </c>
    </row>
    <row r="51" spans="1:6">
      <c r="A51" s="3664"/>
      <c r="B51" s="3835"/>
      <c r="C51" s="3668">
        <f>'成本逼近法 (搭配划拨)'!B3</f>
        <v>3156</v>
      </c>
      <c r="D51" s="3664">
        <f>1-D49</f>
        <v>0.30000000000000004</v>
      </c>
      <c r="E51" s="3664"/>
      <c r="F51" s="3664"/>
    </row>
    <row r="52" spans="1:6">
      <c r="E52" s="3667">
        <f>ROUND(E50*'数据-汇总表'!D3/10000,4)</f>
        <v>9350.8848999999991</v>
      </c>
    </row>
  </sheetData>
  <mergeCells count="6">
    <mergeCell ref="E45:E46"/>
    <mergeCell ref="B7:D7"/>
    <mergeCell ref="B16:C16"/>
    <mergeCell ref="B17:C17"/>
    <mergeCell ref="B18:C18"/>
    <mergeCell ref="D45:D4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4044" t="s">
        <v>1394</v>
      </c>
      <c r="B24" s="4045"/>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4044" t="s">
        <v>2294</v>
      </c>
      <c r="B25" s="4045"/>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4044" t="s">
        <v>2295</v>
      </c>
      <c r="B26" s="4045"/>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4046" t="s">
        <v>2293</v>
      </c>
      <c r="B27" s="4047"/>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871" t="str">
        <f>项目基本情况!B1</f>
        <v>北京市划拨国有建设用地使用权市场价格预评估</v>
      </c>
      <c r="C37" s="3871"/>
      <c r="D37" s="3871"/>
      <c r="E37" s="3871"/>
      <c r="F37" s="3871"/>
      <c r="G37" s="3871"/>
      <c r="H37" s="3871"/>
      <c r="I37" s="3871"/>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4050" t="s">
        <v>1807</v>
      </c>
      <c r="C6" s="747">
        <f ca="1">ROUND(F6*F8*F7*(1-F9)/10000,4)</f>
        <v>686.3288</v>
      </c>
      <c r="D6" s="2142" t="s">
        <v>1806</v>
      </c>
      <c r="E6" s="748" t="s">
        <v>1267</v>
      </c>
      <c r="F6" s="749">
        <f ca="1">INDIRECT("'数据-取费表'!u"&amp;$G$1)</f>
        <v>1</v>
      </c>
      <c r="G6" s="1784"/>
      <c r="H6" s="2149" t="s">
        <v>1812</v>
      </c>
      <c r="I6" s="4050" t="s">
        <v>1807</v>
      </c>
      <c r="J6" s="747">
        <f ca="1">ROUND(M6*M8*M7*(1-M9)/10000,0)</f>
        <v>0</v>
      </c>
      <c r="K6" s="332" t="s">
        <v>1266</v>
      </c>
      <c r="L6" s="748" t="s">
        <v>1267</v>
      </c>
      <c r="M6" s="749">
        <f ca="1">INDIRECT("'数据-取费表'!z"&amp;$G$1)</f>
        <v>0</v>
      </c>
    </row>
    <row r="7" spans="1:33" ht="18" customHeight="1">
      <c r="A7" s="2145"/>
      <c r="B7" s="4051"/>
      <c r="C7" s="752"/>
      <c r="D7" s="753"/>
      <c r="E7" s="748" t="s">
        <v>1268</v>
      </c>
      <c r="F7" s="749">
        <f ca="1">IF(INDIRECT("'数据-取费表'!ah"&amp;$G$1)="",INDIRECT("'数据-取费表'!k"&amp;$G$1),INDIRECT("'数据-取费表'!ah"&amp;$G$1))</f>
        <v>22121.8</v>
      </c>
      <c r="G7" s="1784"/>
      <c r="H7" s="2134"/>
      <c r="I7" s="4051"/>
      <c r="J7" s="752"/>
      <c r="K7" s="753"/>
      <c r="L7" s="748" t="s">
        <v>1268</v>
      </c>
      <c r="M7" s="749">
        <f ca="1">F7</f>
        <v>22121.8</v>
      </c>
    </row>
    <row r="8" spans="1:33" ht="18" customHeight="1">
      <c r="A8" s="2138"/>
      <c r="B8" s="4052"/>
      <c r="C8" s="752"/>
      <c r="D8" s="753"/>
      <c r="E8" s="748" t="s">
        <v>1269</v>
      </c>
      <c r="F8" s="749">
        <f ca="1">INDIRECT("'数据-取费表'!ai"&amp;$G$1)</f>
        <v>365</v>
      </c>
      <c r="G8" s="1784"/>
      <c r="H8" s="2134"/>
      <c r="I8" s="4052"/>
      <c r="J8" s="752"/>
      <c r="K8" s="753"/>
      <c r="L8" s="748" t="s">
        <v>1269</v>
      </c>
      <c r="M8" s="749">
        <f ca="1">INDIRECT("'数据-取费表'!ai"&amp;$G$1)</f>
        <v>365</v>
      </c>
    </row>
    <row r="9" spans="1:33" ht="18" customHeight="1">
      <c r="A9" s="750"/>
      <c r="B9" s="4053"/>
      <c r="C9" s="752"/>
      <c r="D9" s="753"/>
      <c r="E9" s="748" t="s">
        <v>1270</v>
      </c>
      <c r="F9" s="758">
        <f ca="1">INDIRECT("'数据-取费表'!w"&amp;$G$1)</f>
        <v>0.15</v>
      </c>
      <c r="G9" s="1784"/>
      <c r="H9" s="2150"/>
      <c r="I9" s="4052"/>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4048" t="s">
        <v>2224</v>
      </c>
      <c r="L53" s="4049"/>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258" priority="7">
      <formula>$L$48&gt;$J$51</formula>
    </cfRule>
  </conditionalFormatting>
  <conditionalFormatting sqref="I55">
    <cfRule type="expression" dxfId="257" priority="8">
      <formula>$J$51&gt;$L$48</formula>
    </cfRule>
  </conditionalFormatting>
  <conditionalFormatting sqref="I60">
    <cfRule type="expression" dxfId="256" priority="6">
      <formula>$J$51&gt;$L$48</formula>
    </cfRule>
  </conditionalFormatting>
  <conditionalFormatting sqref="K60">
    <cfRule type="expression" dxfId="255" priority="5">
      <formula>$L$48&gt;$J$51</formula>
    </cfRule>
  </conditionalFormatting>
  <conditionalFormatting sqref="C11">
    <cfRule type="expression" dxfId="254" priority="4">
      <formula>$F$10="自定义"</formula>
    </cfRule>
  </conditionalFormatting>
  <conditionalFormatting sqref="J11">
    <cfRule type="expression" dxfId="253" priority="2">
      <formula>$M$10="自定义"</formula>
    </cfRule>
  </conditionalFormatting>
  <conditionalFormatting sqref="C53">
    <cfRule type="expression" dxfId="252"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4077" t="s">
        <v>471</v>
      </c>
      <c r="D6" s="4078"/>
      <c r="E6" s="4077" t="s">
        <v>472</v>
      </c>
      <c r="F6" s="4078"/>
      <c r="G6" s="4077" t="s">
        <v>473</v>
      </c>
      <c r="H6" s="4078"/>
      <c r="I6" s="4077" t="s">
        <v>474</v>
      </c>
      <c r="J6" s="4078"/>
      <c r="K6" s="482" t="s">
        <v>475</v>
      </c>
      <c r="L6" s="1854"/>
      <c r="M6" s="1853"/>
      <c r="N6" s="1853"/>
      <c r="O6" s="1855"/>
      <c r="P6" s="4079" t="s">
        <v>476</v>
      </c>
      <c r="Q6" s="4080"/>
      <c r="R6" s="4063" t="s">
        <v>472</v>
      </c>
      <c r="S6" s="4064"/>
      <c r="T6" s="4063" t="s">
        <v>473</v>
      </c>
      <c r="U6" s="4064"/>
      <c r="V6" s="4085" t="s">
        <v>474</v>
      </c>
      <c r="W6" s="4085"/>
      <c r="X6" s="1378"/>
      <c r="Y6" s="4063" t="s">
        <v>476</v>
      </c>
      <c r="Z6" s="4064"/>
      <c r="AA6" s="4058" t="s">
        <v>472</v>
      </c>
      <c r="AB6" s="4059" t="s">
        <v>473</v>
      </c>
      <c r="AC6" s="4058" t="s">
        <v>474</v>
      </c>
    </row>
    <row r="7" spans="1:30" ht="20.25">
      <c r="A7" s="483"/>
      <c r="B7" s="484"/>
      <c r="C7" s="4088" t="s">
        <v>2190</v>
      </c>
      <c r="D7" s="4089"/>
      <c r="E7" s="4088" t="s">
        <v>2191</v>
      </c>
      <c r="F7" s="4089"/>
      <c r="G7" s="4088" t="s">
        <v>2192</v>
      </c>
      <c r="H7" s="4089"/>
      <c r="I7" s="4088" t="s">
        <v>2193</v>
      </c>
      <c r="J7" s="4089"/>
      <c r="K7" s="482"/>
      <c r="L7" s="1854"/>
      <c r="M7" s="1853"/>
      <c r="N7" s="1853"/>
      <c r="O7" s="1855"/>
      <c r="P7" s="4081"/>
      <c r="Q7" s="4082"/>
      <c r="R7" s="4065"/>
      <c r="S7" s="4066"/>
      <c r="T7" s="4065"/>
      <c r="U7" s="4066"/>
      <c r="V7" s="4085"/>
      <c r="W7" s="4085"/>
      <c r="X7" s="1378"/>
      <c r="Y7" s="4065"/>
      <c r="Z7" s="4066"/>
      <c r="AA7" s="4059"/>
      <c r="AB7" s="4059"/>
      <c r="AC7" s="4059"/>
    </row>
    <row r="8" spans="1:30" ht="21" thickBot="1">
      <c r="A8" s="483"/>
      <c r="B8" s="484"/>
      <c r="C8" s="4090" t="s">
        <v>2194</v>
      </c>
      <c r="D8" s="4091"/>
      <c r="E8" s="4090" t="s">
        <v>2194</v>
      </c>
      <c r="F8" s="4091"/>
      <c r="G8" s="4086" t="s">
        <v>2194</v>
      </c>
      <c r="H8" s="4087"/>
      <c r="I8" s="4086" t="s">
        <v>2194</v>
      </c>
      <c r="J8" s="4087"/>
      <c r="K8" s="482" t="s">
        <v>477</v>
      </c>
      <c r="L8" s="1854"/>
      <c r="M8" s="1853"/>
      <c r="N8" s="1853"/>
      <c r="O8" s="1855"/>
      <c r="P8" s="4083"/>
      <c r="Q8" s="4084"/>
      <c r="R8" s="4065"/>
      <c r="S8" s="4066"/>
      <c r="T8" s="4067"/>
      <c r="U8" s="4068"/>
      <c r="V8" s="4085"/>
      <c r="W8" s="4085"/>
      <c r="X8" s="1378"/>
      <c r="Y8" s="4067"/>
      <c r="Z8" s="4068"/>
      <c r="AA8" s="4060"/>
      <c r="AB8" s="4060"/>
      <c r="AC8" s="4060"/>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4061" t="s">
        <v>479</v>
      </c>
      <c r="Q9" s="4070"/>
      <c r="R9" s="1379" t="s">
        <v>5</v>
      </c>
      <c r="S9" s="1380">
        <f t="shared" ref="S9:S17" si="0">F9</f>
        <v>0</v>
      </c>
      <c r="T9" s="1379" t="s">
        <v>5</v>
      </c>
      <c r="U9" s="1380">
        <f t="shared" ref="U9:U17" si="1">H9</f>
        <v>0</v>
      </c>
      <c r="V9" s="1379" t="s">
        <v>5</v>
      </c>
      <c r="W9" s="1380">
        <f t="shared" ref="W9:W17" si="2">J9</f>
        <v>0</v>
      </c>
      <c r="X9" s="1381"/>
      <c r="Y9" s="4061" t="s">
        <v>479</v>
      </c>
      <c r="Z9" s="4062"/>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4061" t="s">
        <v>482</v>
      </c>
      <c r="Q10" s="4062"/>
      <c r="R10" s="1379" t="s">
        <v>5</v>
      </c>
      <c r="S10" s="1380">
        <f t="shared" si="0"/>
        <v>0</v>
      </c>
      <c r="T10" s="1379" t="s">
        <v>5</v>
      </c>
      <c r="U10" s="1380">
        <f t="shared" si="1"/>
        <v>0</v>
      </c>
      <c r="V10" s="1379" t="s">
        <v>5</v>
      </c>
      <c r="W10" s="1380">
        <f t="shared" si="2"/>
        <v>0</v>
      </c>
      <c r="X10" s="1381"/>
      <c r="Y10" s="4061" t="s">
        <v>482</v>
      </c>
      <c r="Z10" s="4062"/>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4069" t="s">
        <v>484</v>
      </c>
      <c r="Q11" s="1048" t="str">
        <f t="shared" ref="Q11:Q17" si="6">B11</f>
        <v>用途</v>
      </c>
      <c r="R11" s="1379" t="s">
        <v>5</v>
      </c>
      <c r="S11" s="1380">
        <f t="shared" si="0"/>
        <v>100</v>
      </c>
      <c r="T11" s="1379" t="s">
        <v>5</v>
      </c>
      <c r="U11" s="1380">
        <f t="shared" si="1"/>
        <v>100</v>
      </c>
      <c r="V11" s="1379" t="s">
        <v>5</v>
      </c>
      <c r="W11" s="1380">
        <f t="shared" si="2"/>
        <v>100</v>
      </c>
      <c r="X11" s="1381"/>
      <c r="Y11" s="4009"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4069"/>
      <c r="Q12" s="1048" t="str">
        <f t="shared" si="6"/>
        <v>土地使用年限（年）</v>
      </c>
      <c r="R12" s="1379" t="s">
        <v>5</v>
      </c>
      <c r="S12" s="1380">
        <f t="shared" si="0"/>
        <v>100</v>
      </c>
      <c r="T12" s="1379" t="s">
        <v>5</v>
      </c>
      <c r="U12" s="1380">
        <f t="shared" si="1"/>
        <v>100</v>
      </c>
      <c r="V12" s="1379" t="s">
        <v>5</v>
      </c>
      <c r="W12" s="1380">
        <f t="shared" si="2"/>
        <v>100</v>
      </c>
      <c r="X12" s="1381"/>
      <c r="Y12" s="4009"/>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4069"/>
      <c r="Q13" s="1048" t="str">
        <f t="shared" si="6"/>
        <v>容积率</v>
      </c>
      <c r="R13" s="1379" t="s">
        <v>5</v>
      </c>
      <c r="S13" s="1380" t="e">
        <f t="shared" si="0"/>
        <v>#N/A</v>
      </c>
      <c r="T13" s="1379" t="s">
        <v>5</v>
      </c>
      <c r="U13" s="1380" t="e">
        <f t="shared" si="1"/>
        <v>#N/A</v>
      </c>
      <c r="V13" s="1379" t="s">
        <v>5</v>
      </c>
      <c r="W13" s="1380" t="e">
        <f t="shared" si="2"/>
        <v>#N/A</v>
      </c>
      <c r="X13" s="1381"/>
      <c r="Y13" s="4009"/>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4069"/>
      <c r="Q14" s="1048" t="str">
        <f t="shared" si="6"/>
        <v>配建</v>
      </c>
      <c r="R14" s="1379" t="s">
        <v>5</v>
      </c>
      <c r="S14" s="1380">
        <f t="shared" si="0"/>
        <v>100</v>
      </c>
      <c r="T14" s="1379" t="s">
        <v>5</v>
      </c>
      <c r="U14" s="1380">
        <f t="shared" si="1"/>
        <v>100</v>
      </c>
      <c r="V14" s="1379" t="s">
        <v>5</v>
      </c>
      <c r="W14" s="1380">
        <f t="shared" si="2"/>
        <v>100</v>
      </c>
      <c r="X14" s="1381"/>
      <c r="Y14" s="4009"/>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4069"/>
      <c r="Q15" s="1048">
        <f t="shared" si="6"/>
        <v>111</v>
      </c>
      <c r="R15" s="1379" t="s">
        <v>5</v>
      </c>
      <c r="S15" s="1380">
        <f t="shared" si="0"/>
        <v>100</v>
      </c>
      <c r="T15" s="1379" t="s">
        <v>5</v>
      </c>
      <c r="U15" s="1380">
        <f t="shared" si="1"/>
        <v>100</v>
      </c>
      <c r="V15" s="1379" t="s">
        <v>5</v>
      </c>
      <c r="W15" s="1380">
        <f t="shared" si="2"/>
        <v>100</v>
      </c>
      <c r="X15" s="1381"/>
      <c r="Y15" s="4009"/>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4069"/>
      <c r="Q16" s="1048">
        <f t="shared" si="6"/>
        <v>111</v>
      </c>
      <c r="R16" s="1379" t="s">
        <v>5</v>
      </c>
      <c r="S16" s="1380">
        <f t="shared" si="0"/>
        <v>100</v>
      </c>
      <c r="T16" s="1379" t="s">
        <v>5</v>
      </c>
      <c r="U16" s="1380">
        <f t="shared" si="1"/>
        <v>100</v>
      </c>
      <c r="V16" s="1379" t="s">
        <v>5</v>
      </c>
      <c r="W16" s="1380">
        <f t="shared" si="2"/>
        <v>100</v>
      </c>
      <c r="X16" s="1381"/>
      <c r="Y16" s="4009"/>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4071" t="s">
        <v>489</v>
      </c>
      <c r="Q17" s="1383" t="str">
        <f t="shared" si="6"/>
        <v>居住社区成熟度</v>
      </c>
      <c r="R17" s="1384" t="s">
        <v>5</v>
      </c>
      <c r="S17" s="1385">
        <f t="shared" si="0"/>
        <v>100</v>
      </c>
      <c r="T17" s="1384" t="s">
        <v>5</v>
      </c>
      <c r="U17" s="1385">
        <f t="shared" si="1"/>
        <v>100</v>
      </c>
      <c r="V17" s="1384" t="s">
        <v>5</v>
      </c>
      <c r="W17" s="1385">
        <f t="shared" si="2"/>
        <v>100</v>
      </c>
      <c r="X17" s="1378"/>
      <c r="Y17" s="4071"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4072"/>
      <c r="Q18" s="1383"/>
      <c r="R18" s="1384"/>
      <c r="S18" s="1385"/>
      <c r="T18" s="1384"/>
      <c r="U18" s="1385"/>
      <c r="V18" s="1384"/>
      <c r="W18" s="1385"/>
      <c r="X18" s="1378"/>
      <c r="Y18" s="4072"/>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4072"/>
      <c r="Q19" s="1383" t="str">
        <f>B19</f>
        <v>商业繁华度</v>
      </c>
      <c r="R19" s="1384" t="s">
        <v>5</v>
      </c>
      <c r="S19" s="1385">
        <f>F19</f>
        <v>100</v>
      </c>
      <c r="T19" s="1384" t="s">
        <v>5</v>
      </c>
      <c r="U19" s="1385">
        <f>H19</f>
        <v>100</v>
      </c>
      <c r="V19" s="1384" t="s">
        <v>5</v>
      </c>
      <c r="W19" s="1385">
        <f>J19</f>
        <v>100</v>
      </c>
      <c r="X19" s="1378"/>
      <c r="Y19" s="4072"/>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4072"/>
      <c r="Q20" s="1383"/>
      <c r="R20" s="1384"/>
      <c r="S20" s="1385"/>
      <c r="T20" s="1384"/>
      <c r="U20" s="1385"/>
      <c r="V20" s="1384"/>
      <c r="W20" s="1385"/>
      <c r="X20" s="1378"/>
      <c r="Y20" s="4072"/>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4072"/>
      <c r="Q21" s="1383" t="str">
        <f>B21</f>
        <v>办公集聚程度</v>
      </c>
      <c r="R21" s="1384" t="s">
        <v>5</v>
      </c>
      <c r="S21" s="1385">
        <f>F21</f>
        <v>100</v>
      </c>
      <c r="T21" s="1384" t="s">
        <v>5</v>
      </c>
      <c r="U21" s="1385">
        <f>H21</f>
        <v>100</v>
      </c>
      <c r="V21" s="1384" t="s">
        <v>5</v>
      </c>
      <c r="W21" s="1385">
        <f>J21</f>
        <v>100</v>
      </c>
      <c r="X21" s="1378"/>
      <c r="Y21" s="4072"/>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4072"/>
      <c r="Q22" s="1383"/>
      <c r="R22" s="1384"/>
      <c r="S22" s="1385"/>
      <c r="T22" s="1384"/>
      <c r="U22" s="1385"/>
      <c r="V22" s="1384"/>
      <c r="W22" s="1385"/>
      <c r="X22" s="1378"/>
      <c r="Y22" s="4072"/>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4072"/>
      <c r="Q23" s="1383" t="str">
        <f>B23</f>
        <v>交通便捷度</v>
      </c>
      <c r="R23" s="1384" t="s">
        <v>5</v>
      </c>
      <c r="S23" s="1385">
        <f>F23</f>
        <v>100</v>
      </c>
      <c r="T23" s="1384" t="s">
        <v>5</v>
      </c>
      <c r="U23" s="1385">
        <f>H23</f>
        <v>100</v>
      </c>
      <c r="V23" s="1384" t="s">
        <v>5</v>
      </c>
      <c r="W23" s="1385">
        <f>J23</f>
        <v>100</v>
      </c>
      <c r="X23" s="1378"/>
      <c r="Y23" s="4072"/>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4072"/>
      <c r="Q24" s="1383"/>
      <c r="R24" s="1384"/>
      <c r="S24" s="1385"/>
      <c r="T24" s="1384"/>
      <c r="U24" s="1385"/>
      <c r="V24" s="1384"/>
      <c r="W24" s="1385"/>
      <c r="X24" s="1378"/>
      <c r="Y24" s="4072"/>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4072"/>
      <c r="Q25" s="1383" t="str">
        <f t="shared" ref="Q25:Q39" si="8">B25</f>
        <v>区域土地利用方向</v>
      </c>
      <c r="R25" s="1384" t="s">
        <v>5</v>
      </c>
      <c r="S25" s="1385">
        <f>F25</f>
        <v>100</v>
      </c>
      <c r="T25" s="1384" t="s">
        <v>5</v>
      </c>
      <c r="U25" s="1385">
        <f>H25</f>
        <v>100</v>
      </c>
      <c r="V25" s="1384" t="s">
        <v>5</v>
      </c>
      <c r="W25" s="1385">
        <f>J25</f>
        <v>100</v>
      </c>
      <c r="X25" s="1378"/>
      <c r="Y25" s="4072"/>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4072"/>
      <c r="Q26" s="1383"/>
      <c r="R26" s="1384"/>
      <c r="S26" s="1385"/>
      <c r="T26" s="1384"/>
      <c r="U26" s="1385"/>
      <c r="V26" s="1384"/>
      <c r="W26" s="1385"/>
      <c r="X26" s="1378"/>
      <c r="Y26" s="4072"/>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4072"/>
      <c r="Q27" s="1383" t="str">
        <f t="shared" si="8"/>
        <v>自然及人文环境状况</v>
      </c>
      <c r="R27" s="1384" t="s">
        <v>5</v>
      </c>
      <c r="S27" s="1385">
        <f>F27</f>
        <v>100</v>
      </c>
      <c r="T27" s="1384" t="s">
        <v>5</v>
      </c>
      <c r="U27" s="1385">
        <f>H27</f>
        <v>100</v>
      </c>
      <c r="V27" s="1384" t="s">
        <v>5</v>
      </c>
      <c r="W27" s="1385">
        <f>J27</f>
        <v>100</v>
      </c>
      <c r="X27" s="1378"/>
      <c r="Y27" s="4072"/>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4072"/>
      <c r="Q28" s="1383"/>
      <c r="R28" s="1384"/>
      <c r="S28" s="1385"/>
      <c r="T28" s="1384"/>
      <c r="U28" s="1385"/>
      <c r="V28" s="1384"/>
      <c r="W28" s="1385"/>
      <c r="X28" s="1378"/>
      <c r="Y28" s="4072"/>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4072"/>
      <c r="Q29" s="1048" t="str">
        <f t="shared" si="8"/>
        <v>公共配套设施</v>
      </c>
      <c r="R29" s="1379" t="s">
        <v>5</v>
      </c>
      <c r="S29" s="1380">
        <f>F29</f>
        <v>100</v>
      </c>
      <c r="T29" s="1379" t="s">
        <v>5</v>
      </c>
      <c r="U29" s="1380">
        <f>H29</f>
        <v>100</v>
      </c>
      <c r="V29" s="1379" t="s">
        <v>5</v>
      </c>
      <c r="W29" s="1380">
        <f>J29</f>
        <v>100</v>
      </c>
      <c r="X29" s="1381"/>
      <c r="Y29" s="4072"/>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4072"/>
      <c r="Q30" s="1048"/>
      <c r="R30" s="1379"/>
      <c r="S30" s="1380"/>
      <c r="T30" s="1379"/>
      <c r="U30" s="1380"/>
      <c r="V30" s="1379"/>
      <c r="W30" s="1380"/>
      <c r="X30" s="1381"/>
      <c r="Y30" s="4072"/>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4072"/>
      <c r="Q31" s="2190" t="str">
        <f>B31</f>
        <v>基础设施水平</v>
      </c>
      <c r="R31" s="1379" t="s">
        <v>5</v>
      </c>
      <c r="S31" s="1380">
        <f>F31</f>
        <v>100</v>
      </c>
      <c r="T31" s="1379" t="s">
        <v>5</v>
      </c>
      <c r="U31" s="1380">
        <f>H31</f>
        <v>100</v>
      </c>
      <c r="V31" s="1379" t="s">
        <v>5</v>
      </c>
      <c r="W31" s="1380">
        <f>J31</f>
        <v>100</v>
      </c>
      <c r="X31" s="1381"/>
      <c r="Y31" s="4072"/>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4072"/>
      <c r="Q32" s="2190"/>
      <c r="R32" s="1379"/>
      <c r="S32" s="1380"/>
      <c r="T32" s="1379"/>
      <c r="U32" s="1380"/>
      <c r="V32" s="1379"/>
      <c r="W32" s="1380"/>
      <c r="X32" s="1381"/>
      <c r="Y32" s="4072"/>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4072"/>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072"/>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4072"/>
      <c r="Q34" s="1383" t="str">
        <f t="shared" si="8"/>
        <v>毗邻道路的类型与等级</v>
      </c>
      <c r="R34" s="1384" t="s">
        <v>5</v>
      </c>
      <c r="S34" s="1385">
        <f t="shared" si="9"/>
        <v>100</v>
      </c>
      <c r="T34" s="1384" t="s">
        <v>5</v>
      </c>
      <c r="U34" s="1385">
        <f t="shared" si="10"/>
        <v>100</v>
      </c>
      <c r="V34" s="1384" t="s">
        <v>5</v>
      </c>
      <c r="W34" s="1385">
        <f t="shared" si="11"/>
        <v>100</v>
      </c>
      <c r="X34" s="1378"/>
      <c r="Y34" s="4072"/>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4072"/>
      <c r="Q35" s="1383"/>
      <c r="R35" s="1384"/>
      <c r="S35" s="1385"/>
      <c r="T35" s="1384"/>
      <c r="U35" s="1385"/>
      <c r="V35" s="1384"/>
      <c r="W35" s="1385"/>
      <c r="X35" s="1378"/>
      <c r="Y35" s="4072"/>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4072"/>
      <c r="Q36" s="1383" t="str">
        <f t="shared" si="8"/>
        <v>土地级别</v>
      </c>
      <c r="R36" s="1384" t="s">
        <v>5</v>
      </c>
      <c r="S36" s="1385">
        <f t="shared" si="9"/>
        <v>100</v>
      </c>
      <c r="T36" s="1384" t="s">
        <v>5</v>
      </c>
      <c r="U36" s="1385">
        <f t="shared" si="10"/>
        <v>100</v>
      </c>
      <c r="V36" s="1384" t="s">
        <v>5</v>
      </c>
      <c r="W36" s="1385">
        <f t="shared" si="11"/>
        <v>100</v>
      </c>
      <c r="X36" s="1378"/>
      <c r="Y36" s="4072"/>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4072"/>
      <c r="Q37" s="1383">
        <f t="shared" si="8"/>
        <v>111</v>
      </c>
      <c r="R37" s="1384" t="s">
        <v>5</v>
      </c>
      <c r="S37" s="1385">
        <f t="shared" si="9"/>
        <v>100</v>
      </c>
      <c r="T37" s="1384" t="s">
        <v>5</v>
      </c>
      <c r="U37" s="1385">
        <f t="shared" si="10"/>
        <v>100</v>
      </c>
      <c r="V37" s="1384" t="s">
        <v>5</v>
      </c>
      <c r="W37" s="1385">
        <f t="shared" si="11"/>
        <v>100</v>
      </c>
      <c r="X37" s="1378"/>
      <c r="Y37" s="4072"/>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4073" t="s">
        <v>499</v>
      </c>
      <c r="Q38" s="1383">
        <f t="shared" si="8"/>
        <v>111</v>
      </c>
      <c r="R38" s="1384" t="s">
        <v>5</v>
      </c>
      <c r="S38" s="1385">
        <f t="shared" si="9"/>
        <v>100</v>
      </c>
      <c r="T38" s="1384" t="s">
        <v>5</v>
      </c>
      <c r="U38" s="1385">
        <f t="shared" si="10"/>
        <v>100</v>
      </c>
      <c r="V38" s="1384" t="s">
        <v>5</v>
      </c>
      <c r="W38" s="1385">
        <f t="shared" si="11"/>
        <v>100</v>
      </c>
      <c r="X38" s="1378"/>
      <c r="Y38" s="4074"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4074"/>
      <c r="Q39" s="1383">
        <f t="shared" si="8"/>
        <v>111</v>
      </c>
      <c r="R39" s="1388" t="s">
        <v>5</v>
      </c>
      <c r="S39" s="1389">
        <f t="shared" si="9"/>
        <v>100</v>
      </c>
      <c r="T39" s="1388" t="s">
        <v>5</v>
      </c>
      <c r="U39" s="1389">
        <f t="shared" si="10"/>
        <v>100</v>
      </c>
      <c r="V39" s="1388" t="s">
        <v>5</v>
      </c>
      <c r="W39" s="1389">
        <f t="shared" si="11"/>
        <v>100</v>
      </c>
      <c r="X39" s="1390"/>
      <c r="Y39" s="4074"/>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4074"/>
      <c r="Q40" s="1383" t="str">
        <f>B40</f>
        <v>宗地面积</v>
      </c>
      <c r="R40" s="1384" t="s">
        <v>5</v>
      </c>
      <c r="S40" s="1385" t="e">
        <f t="shared" si="9"/>
        <v>#N/A</v>
      </c>
      <c r="T40" s="1384" t="s">
        <v>5</v>
      </c>
      <c r="U40" s="1385" t="e">
        <f t="shared" si="10"/>
        <v>#N/A</v>
      </c>
      <c r="V40" s="1384" t="s">
        <v>5</v>
      </c>
      <c r="W40" s="1385" t="e">
        <f t="shared" si="11"/>
        <v>#N/A</v>
      </c>
      <c r="X40" s="1378"/>
      <c r="Y40" s="4074"/>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4074"/>
      <c r="Q41" s="1383" t="str">
        <f t="shared" ref="Q41:Q47" si="13">B41</f>
        <v>宗地形状</v>
      </c>
      <c r="R41" s="1384" t="s">
        <v>5</v>
      </c>
      <c r="S41" s="1385">
        <f t="shared" si="9"/>
        <v>100</v>
      </c>
      <c r="T41" s="1384" t="s">
        <v>5</v>
      </c>
      <c r="U41" s="1385">
        <f t="shared" si="10"/>
        <v>100</v>
      </c>
      <c r="V41" s="1384" t="s">
        <v>5</v>
      </c>
      <c r="W41" s="1385">
        <f t="shared" si="11"/>
        <v>100</v>
      </c>
      <c r="X41" s="1378"/>
      <c r="Y41" s="4074"/>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4074"/>
      <c r="Q42" s="1383" t="str">
        <f t="shared" si="13"/>
        <v>临街宽度及深度</v>
      </c>
      <c r="R42" s="1384" t="s">
        <v>5</v>
      </c>
      <c r="S42" s="1385">
        <f t="shared" si="9"/>
        <v>100</v>
      </c>
      <c r="T42" s="1384" t="s">
        <v>5</v>
      </c>
      <c r="U42" s="1385">
        <f t="shared" si="10"/>
        <v>100</v>
      </c>
      <c r="V42" s="1384" t="s">
        <v>5</v>
      </c>
      <c r="W42" s="1385">
        <f t="shared" si="11"/>
        <v>100</v>
      </c>
      <c r="X42" s="1378"/>
      <c r="Y42" s="4074"/>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4074"/>
      <c r="Q43" s="1383" t="str">
        <f t="shared" si="13"/>
        <v>宗地开发程度</v>
      </c>
      <c r="R43" s="1379" t="s">
        <v>5</v>
      </c>
      <c r="S43" s="1380">
        <f t="shared" si="9"/>
        <v>100</v>
      </c>
      <c r="T43" s="1379" t="s">
        <v>5</v>
      </c>
      <c r="U43" s="1380">
        <f t="shared" si="10"/>
        <v>100</v>
      </c>
      <c r="V43" s="1379" t="s">
        <v>5</v>
      </c>
      <c r="W43" s="1380">
        <f t="shared" si="11"/>
        <v>100</v>
      </c>
      <c r="X43" s="1381"/>
      <c r="Y43" s="4074"/>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4074" t="s">
        <v>499</v>
      </c>
      <c r="Q44" s="1383" t="str">
        <f t="shared" si="13"/>
        <v>工程地质条件</v>
      </c>
      <c r="R44" s="1384" t="s">
        <v>5</v>
      </c>
      <c r="S44" s="1385">
        <f t="shared" si="9"/>
        <v>100</v>
      </c>
      <c r="T44" s="1384" t="s">
        <v>5</v>
      </c>
      <c r="U44" s="1385">
        <f t="shared" si="10"/>
        <v>100</v>
      </c>
      <c r="V44" s="1384" t="s">
        <v>5</v>
      </c>
      <c r="W44" s="1385">
        <f t="shared" si="11"/>
        <v>100</v>
      </c>
      <c r="X44" s="1378"/>
      <c r="Y44" s="4074"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4074"/>
      <c r="Q45" s="1383">
        <f t="shared" si="13"/>
        <v>111</v>
      </c>
      <c r="R45" s="1384" t="s">
        <v>5</v>
      </c>
      <c r="S45" s="1385">
        <f t="shared" si="9"/>
        <v>100</v>
      </c>
      <c r="T45" s="1384" t="s">
        <v>5</v>
      </c>
      <c r="U45" s="1385">
        <f t="shared" si="10"/>
        <v>100</v>
      </c>
      <c r="V45" s="1384" t="s">
        <v>5</v>
      </c>
      <c r="W45" s="1385">
        <f t="shared" si="11"/>
        <v>100</v>
      </c>
      <c r="X45" s="1378"/>
      <c r="Y45" s="4074"/>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4074"/>
      <c r="Q46" s="1383">
        <f t="shared" si="13"/>
        <v>111</v>
      </c>
      <c r="R46" s="1384" t="s">
        <v>5</v>
      </c>
      <c r="S46" s="1385">
        <f t="shared" si="9"/>
        <v>100</v>
      </c>
      <c r="T46" s="1384" t="s">
        <v>5</v>
      </c>
      <c r="U46" s="1385">
        <f t="shared" si="10"/>
        <v>100</v>
      </c>
      <c r="V46" s="1384" t="s">
        <v>5</v>
      </c>
      <c r="W46" s="1385">
        <f t="shared" si="11"/>
        <v>100</v>
      </c>
      <c r="X46" s="1378"/>
      <c r="Y46" s="4074"/>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4074"/>
      <c r="Q47" s="1383">
        <f t="shared" si="13"/>
        <v>111</v>
      </c>
      <c r="R47" s="1388" t="s">
        <v>5</v>
      </c>
      <c r="S47" s="1389">
        <f t="shared" si="9"/>
        <v>100</v>
      </c>
      <c r="T47" s="1388" t="s">
        <v>5</v>
      </c>
      <c r="U47" s="1389">
        <f t="shared" si="10"/>
        <v>100</v>
      </c>
      <c r="V47" s="1388" t="s">
        <v>5</v>
      </c>
      <c r="W47" s="1389">
        <f t="shared" si="11"/>
        <v>100</v>
      </c>
      <c r="X47" s="1390"/>
      <c r="Y47" s="4074"/>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4069" t="str">
        <f>A48</f>
        <v>成交单价</v>
      </c>
      <c r="Q48" s="4069"/>
      <c r="R48" s="4085">
        <f>E48</f>
        <v>0</v>
      </c>
      <c r="S48" s="4085"/>
      <c r="T48" s="4085">
        <f>G48</f>
        <v>0</v>
      </c>
      <c r="U48" s="4085"/>
      <c r="V48" s="4085">
        <f>I48</f>
        <v>0</v>
      </c>
      <c r="W48" s="4085"/>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4069" t="str">
        <f>A49</f>
        <v>比较价格（元/平方米）</v>
      </c>
      <c r="Q49" s="4069"/>
      <c r="R49" s="4093" t="e">
        <f>ROUND(PRODUCT(R48,AA9:AA47),0)</f>
        <v>#DIV/0!</v>
      </c>
      <c r="S49" s="4093"/>
      <c r="T49" s="4093" t="e">
        <f>ROUND(PRODUCT(T48,AB9:AB47),0)</f>
        <v>#DIV/0!</v>
      </c>
      <c r="U49" s="4093"/>
      <c r="V49" s="4093" t="e">
        <f>ROUND(PRODUCT(V48,AC9:AC47),0)</f>
        <v>#DIV/0!</v>
      </c>
      <c r="W49" s="4093"/>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4075" t="str">
        <f>A50</f>
        <v>估价对象XX用房的比较价格（楼面单价，元/平方米）</v>
      </c>
      <c r="Q50" s="4076"/>
      <c r="R50" s="4092" t="e">
        <f>ROUND(IF(D49="简单平均",AVERAGE(R49:W49),R49*F49+T49*H49+V49*J49),0)</f>
        <v>#DIV/0!</v>
      </c>
      <c r="S50" s="4092"/>
      <c r="T50" s="4092"/>
      <c r="U50" s="4092"/>
      <c r="V50" s="4092"/>
      <c r="W50" s="4092"/>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4054" t="s">
        <v>1639</v>
      </c>
      <c r="H57" s="4055"/>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4056"/>
      <c r="H58" s="4057"/>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251" priority="18" stopIfTrue="1" operator="containsText" text="超过">
      <formula>NOT(ISERROR(SEARCH("超过",F53)))</formula>
    </cfRule>
  </conditionalFormatting>
  <conditionalFormatting sqref="J55">
    <cfRule type="containsText" dxfId="250" priority="17" stopIfTrue="1" operator="containsText" text="超过">
      <formula>NOT(ISERROR(SEARCH("超过",J55)))</formula>
    </cfRule>
  </conditionalFormatting>
  <conditionalFormatting sqref="H55">
    <cfRule type="containsText" dxfId="249" priority="16" stopIfTrue="1" operator="containsText" text="超过">
      <formula>NOT(ISERROR(SEARCH("超过",H55)))</formula>
    </cfRule>
  </conditionalFormatting>
  <conditionalFormatting sqref="F55">
    <cfRule type="containsText" dxfId="248" priority="15" stopIfTrue="1" operator="containsText" text="超过">
      <formula>NOT(ISERROR(SEARCH("超过",F55)))</formula>
    </cfRule>
  </conditionalFormatting>
  <conditionalFormatting sqref="F54 H54 J54">
    <cfRule type="containsText" dxfId="247" priority="14" stopIfTrue="1" operator="containsText" text="超过">
      <formula>NOT(ISERROR(SEARCH("超过",F54)))</formula>
    </cfRule>
  </conditionalFormatting>
  <conditionalFormatting sqref="E53">
    <cfRule type="expression" dxfId="246" priority="13" stopIfTrue="1">
      <formula>$F$53="超过30%"</formula>
    </cfRule>
  </conditionalFormatting>
  <conditionalFormatting sqref="G55">
    <cfRule type="expression" dxfId="245" priority="12" stopIfTrue="1">
      <formula>$H$55="超过30%"</formula>
    </cfRule>
  </conditionalFormatting>
  <conditionalFormatting sqref="E54">
    <cfRule type="expression" dxfId="244" priority="11" stopIfTrue="1">
      <formula>$F$54="超过20%"</formula>
    </cfRule>
  </conditionalFormatting>
  <conditionalFormatting sqref="E55">
    <cfRule type="expression" dxfId="243" priority="10" stopIfTrue="1">
      <formula>$F$55="超过30%"</formula>
    </cfRule>
  </conditionalFormatting>
  <conditionalFormatting sqref="G53">
    <cfRule type="expression" dxfId="242" priority="9" stopIfTrue="1">
      <formula>$H$55+$H$53="超过30%"</formula>
    </cfRule>
  </conditionalFormatting>
  <conditionalFormatting sqref="G54">
    <cfRule type="expression" dxfId="241" priority="8" stopIfTrue="1">
      <formula>$H$54="超过20%"</formula>
    </cfRule>
  </conditionalFormatting>
  <conditionalFormatting sqref="I53">
    <cfRule type="expression" dxfId="240" priority="7" stopIfTrue="1">
      <formula>$J$53="超过30%"</formula>
    </cfRule>
  </conditionalFormatting>
  <conditionalFormatting sqref="I54">
    <cfRule type="expression" dxfId="239" priority="6" stopIfTrue="1">
      <formula>$J$54="超过20%"</formula>
    </cfRule>
  </conditionalFormatting>
  <conditionalFormatting sqref="I55">
    <cfRule type="expression" dxfId="238" priority="5" stopIfTrue="1">
      <formula>$J$55="超过30%"</formula>
    </cfRule>
  </conditionalFormatting>
  <conditionalFormatting sqref="F49">
    <cfRule type="expression" dxfId="237" priority="4">
      <formula>$D$49="简单平均"</formula>
    </cfRule>
  </conditionalFormatting>
  <conditionalFormatting sqref="H49">
    <cfRule type="expression" dxfId="236" priority="3">
      <formula>$D$49="简单平均"</formula>
    </cfRule>
  </conditionalFormatting>
  <conditionalFormatting sqref="J49">
    <cfRule type="expression" dxfId="235" priority="2">
      <formula>$D$49="简单平均"</formula>
    </cfRule>
  </conditionalFormatting>
  <conditionalFormatting sqref="F9:F47 H9:H47 J9:J47">
    <cfRule type="cellIs" dxfId="234"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3" zoomScale="70" zoomScaleNormal="50" zoomScaleSheetLayoutView="70" workbookViewId="0">
      <selection activeCell="K32" sqref="K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4059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1835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1835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1378"/>
      <c r="Y6" s="4063" t="s">
        <v>476</v>
      </c>
      <c r="Z6" s="4064"/>
      <c r="AA6" s="4058" t="s">
        <v>472</v>
      </c>
      <c r="AB6" s="4059" t="s">
        <v>473</v>
      </c>
      <c r="AC6" s="4058" t="s">
        <v>474</v>
      </c>
    </row>
    <row r="7" spans="1:29" ht="15">
      <c r="A7" s="483"/>
      <c r="B7" s="484"/>
      <c r="C7" s="4088" t="s">
        <v>2190</v>
      </c>
      <c r="D7" s="4089"/>
      <c r="E7" s="4101" t="str">
        <f>公开市场案例!C6</f>
        <v>顺义区马坡聚源工业区A02-2-2地块M1一类 工业项目</v>
      </c>
      <c r="F7" s="4102"/>
      <c r="G7" s="4088" t="str">
        <f>公开市场案例!C9</f>
        <v>顺义新城3401街区（高丽营镇中关村顺义园三代半产业基地）3-2-3(3号地B)地块M1工业用地国有建设用地使用权出让</v>
      </c>
      <c r="H7" s="4089"/>
      <c r="I7" s="4088" t="str">
        <f>公开市场案例!C7</f>
        <v>顺义新城第30街区30-27-02地块M1工业用地国有建设用地使用权出让</v>
      </c>
      <c r="J7" s="4089"/>
      <c r="K7" s="482"/>
      <c r="L7" s="1854"/>
      <c r="M7" s="1855"/>
      <c r="N7" s="1855"/>
      <c r="O7" s="1855"/>
      <c r="P7" s="4081"/>
      <c r="Q7" s="4082"/>
      <c r="R7" s="4065"/>
      <c r="S7" s="4066"/>
      <c r="T7" s="4065"/>
      <c r="U7" s="4066"/>
      <c r="V7" s="4085"/>
      <c r="W7" s="4085"/>
      <c r="X7" s="1378"/>
      <c r="Y7" s="4065"/>
      <c r="Z7" s="4066"/>
      <c r="AA7" s="4059"/>
      <c r="AB7" s="4059"/>
      <c r="AC7" s="4059"/>
    </row>
    <row r="8" spans="1:29" ht="15.75" thickBot="1">
      <c r="A8" s="485"/>
      <c r="B8" s="486"/>
      <c r="C8" s="4086" t="s">
        <v>2194</v>
      </c>
      <c r="D8" s="4087"/>
      <c r="E8" s="4103" t="s">
        <v>3652</v>
      </c>
      <c r="F8" s="4104"/>
      <c r="G8" s="4105" t="s">
        <v>3654</v>
      </c>
      <c r="H8" s="4087"/>
      <c r="I8" s="4105" t="s">
        <v>3653</v>
      </c>
      <c r="J8" s="4087"/>
      <c r="K8" s="482" t="s">
        <v>477</v>
      </c>
      <c r="L8" s="1854"/>
      <c r="M8" s="1855"/>
      <c r="N8" s="1855"/>
      <c r="O8" s="1855"/>
      <c r="P8" s="4083"/>
      <c r="Q8" s="4084"/>
      <c r="R8" s="4065"/>
      <c r="S8" s="4066"/>
      <c r="T8" s="4067"/>
      <c r="U8" s="4068"/>
      <c r="V8" s="4085"/>
      <c r="W8" s="4085"/>
      <c r="X8" s="1378"/>
      <c r="Y8" s="4067"/>
      <c r="Z8" s="4068"/>
      <c r="AA8" s="4060"/>
      <c r="AB8" s="4060"/>
      <c r="AC8" s="4060"/>
    </row>
    <row r="9" spans="1:29" s="1116" customFormat="1" ht="15.75" thickBot="1">
      <c r="A9" s="2390"/>
      <c r="B9" s="2397" t="s">
        <v>478</v>
      </c>
      <c r="C9" s="487">
        <f>'数据-取费表'!B2</f>
        <v>45173</v>
      </c>
      <c r="D9" s="488">
        <v>100</v>
      </c>
      <c r="E9" s="489">
        <f>公开市场案例!J6</f>
        <v>44446</v>
      </c>
      <c r="F9" s="490">
        <f>SUMIF(66:66,YEAR(E9)&amp;"-"&amp;INT((MONTH(E9)+2)/3),67:67)</f>
        <v>94.63</v>
      </c>
      <c r="G9" s="491">
        <f>公开市场案例!J9</f>
        <v>44760</v>
      </c>
      <c r="H9" s="488">
        <f>SUMIF(66:66,YEAR(G9)&amp;"-"&amp;INT((MONTH(G9)+2)/3),67:67)</f>
        <v>97.25</v>
      </c>
      <c r="I9" s="491">
        <f>公开市场案例!$J$7</f>
        <v>44760</v>
      </c>
      <c r="J9" s="488">
        <f>SUMIF(66:66,YEAR(I9)&amp;"-"&amp;INT((MONTH(I9)+2)/3),67:67)</f>
        <v>97.25</v>
      </c>
      <c r="K9" s="492"/>
      <c r="L9" s="1856"/>
      <c r="M9" s="1857"/>
      <c r="N9" s="1857"/>
      <c r="O9" s="1857"/>
      <c r="P9" s="4061" t="s">
        <v>479</v>
      </c>
      <c r="Q9" s="4070"/>
      <c r="R9" s="1379" t="s">
        <v>5</v>
      </c>
      <c r="S9" s="1380">
        <f t="shared" ref="S9:S17" si="0">F9</f>
        <v>94.63</v>
      </c>
      <c r="T9" s="1379" t="s">
        <v>5</v>
      </c>
      <c r="U9" s="1380">
        <f t="shared" ref="U9:U17" si="1">H9</f>
        <v>97.25</v>
      </c>
      <c r="V9" s="1379" t="s">
        <v>5</v>
      </c>
      <c r="W9" s="1380">
        <f t="shared" ref="W9:W17" si="2">J9</f>
        <v>97.25</v>
      </c>
      <c r="X9" s="1381"/>
      <c r="Y9" s="4061" t="s">
        <v>479</v>
      </c>
      <c r="Z9" s="4062"/>
      <c r="AA9" s="1382">
        <f>D9/F9</f>
        <v>1.0567473317129874</v>
      </c>
      <c r="AB9" s="1382">
        <f>D9/H9</f>
        <v>1.0282776349614395</v>
      </c>
      <c r="AC9" s="1382">
        <f>D9/J9</f>
        <v>1.0282776349614395</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1048" t="str">
        <f t="shared" ref="Q11:Q17" si="6">B11</f>
        <v>用途</v>
      </c>
      <c r="R11" s="1379" t="s">
        <v>5</v>
      </c>
      <c r="S11" s="1380">
        <f t="shared" si="0"/>
        <v>100</v>
      </c>
      <c r="T11" s="1379" t="s">
        <v>5</v>
      </c>
      <c r="U11" s="1380">
        <f t="shared" si="1"/>
        <v>100</v>
      </c>
      <c r="V11" s="1379" t="s">
        <v>5</v>
      </c>
      <c r="W11" s="1380">
        <f t="shared" si="2"/>
        <v>100</v>
      </c>
      <c r="X11" s="1381"/>
      <c r="Y11" s="4009"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4069"/>
      <c r="Q12" s="1048" t="str">
        <f t="shared" si="6"/>
        <v>土地使用年限（年）</v>
      </c>
      <c r="R12" s="1379" t="s">
        <v>5</v>
      </c>
      <c r="S12" s="1380">
        <f t="shared" si="0"/>
        <v>100</v>
      </c>
      <c r="T12" s="1379" t="s">
        <v>5</v>
      </c>
      <c r="U12" s="1380">
        <f t="shared" si="1"/>
        <v>100</v>
      </c>
      <c r="V12" s="1379" t="s">
        <v>5</v>
      </c>
      <c r="W12" s="1380">
        <f t="shared" si="2"/>
        <v>100</v>
      </c>
      <c r="X12" s="1381"/>
      <c r="Y12" s="4009"/>
      <c r="Z12" s="1047" t="str">
        <f t="shared" si="7"/>
        <v>土地使用年限（年）</v>
      </c>
      <c r="AA12" s="1382">
        <f t="shared" si="3"/>
        <v>1</v>
      </c>
      <c r="AB12" s="1382">
        <f t="shared" si="4"/>
        <v>1</v>
      </c>
      <c r="AC12" s="1382">
        <f t="shared" si="5"/>
        <v>1</v>
      </c>
    </row>
    <row r="13" spans="1:29" ht="15">
      <c r="A13" s="2394"/>
      <c r="B13" s="2398" t="s">
        <v>2040</v>
      </c>
      <c r="C13" s="501">
        <v>1</v>
      </c>
      <c r="D13" s="246">
        <v>100</v>
      </c>
      <c r="E13" s="501">
        <f>公开市场案例!G6</f>
        <v>1.6</v>
      </c>
      <c r="F13" s="246">
        <v>103</v>
      </c>
      <c r="G13" s="502">
        <f>公开市场案例!G9</f>
        <v>1.5</v>
      </c>
      <c r="H13" s="246">
        <v>101.5</v>
      </c>
      <c r="I13" s="501">
        <f>公开市场案例!G7</f>
        <v>1.3</v>
      </c>
      <c r="J13" s="246">
        <f>H13</f>
        <v>101.5</v>
      </c>
      <c r="K13" s="503">
        <v>2</v>
      </c>
      <c r="L13" s="1861"/>
      <c r="M13" s="1855"/>
      <c r="N13" s="1855"/>
      <c r="O13" s="1862"/>
      <c r="P13" s="4069"/>
      <c r="Q13" s="1048" t="str">
        <f t="shared" si="6"/>
        <v>容积率</v>
      </c>
      <c r="R13" s="1379" t="s">
        <v>5</v>
      </c>
      <c r="S13" s="1380">
        <f t="shared" si="0"/>
        <v>103</v>
      </c>
      <c r="T13" s="1379" t="s">
        <v>5</v>
      </c>
      <c r="U13" s="1380">
        <f t="shared" si="1"/>
        <v>101.5</v>
      </c>
      <c r="V13" s="1379" t="s">
        <v>5</v>
      </c>
      <c r="W13" s="1380">
        <f t="shared" si="2"/>
        <v>101.5</v>
      </c>
      <c r="X13" s="1381"/>
      <c r="Y13" s="4009"/>
      <c r="Z13" s="1047" t="str">
        <f t="shared" si="7"/>
        <v>容积率</v>
      </c>
      <c r="AA13" s="1382">
        <f t="shared" si="3"/>
        <v>0.970873786407767</v>
      </c>
      <c r="AB13" s="1382">
        <f t="shared" si="4"/>
        <v>0.98522167487684731</v>
      </c>
      <c r="AC13" s="1382">
        <f t="shared" si="5"/>
        <v>0.98522167487684731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9"/>
      <c r="Q14" s="1048">
        <f t="shared" si="6"/>
        <v>111</v>
      </c>
      <c r="R14" s="1379" t="s">
        <v>5</v>
      </c>
      <c r="S14" s="1380">
        <f t="shared" si="0"/>
        <v>100</v>
      </c>
      <c r="T14" s="1379" t="s">
        <v>5</v>
      </c>
      <c r="U14" s="1380">
        <f t="shared" si="1"/>
        <v>100</v>
      </c>
      <c r="V14" s="1379" t="s">
        <v>5</v>
      </c>
      <c r="W14" s="1380">
        <f t="shared" si="2"/>
        <v>100</v>
      </c>
      <c r="X14" s="1381"/>
      <c r="Y14" s="4009"/>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1048">
        <f t="shared" si="6"/>
        <v>111</v>
      </c>
      <c r="R15" s="1379" t="s">
        <v>5</v>
      </c>
      <c r="S15" s="1380">
        <f t="shared" si="0"/>
        <v>100</v>
      </c>
      <c r="T15" s="1379" t="s">
        <v>5</v>
      </c>
      <c r="U15" s="1380">
        <f t="shared" si="1"/>
        <v>100</v>
      </c>
      <c r="V15" s="1379" t="s">
        <v>5</v>
      </c>
      <c r="W15" s="1380">
        <f t="shared" si="2"/>
        <v>100</v>
      </c>
      <c r="X15" s="1381"/>
      <c r="Y15" s="4009"/>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1048">
        <f t="shared" si="6"/>
        <v>111</v>
      </c>
      <c r="R16" s="1379" t="s">
        <v>5</v>
      </c>
      <c r="S16" s="1380">
        <f t="shared" si="0"/>
        <v>100</v>
      </c>
      <c r="T16" s="1379" t="s">
        <v>5</v>
      </c>
      <c r="U16" s="1380">
        <f t="shared" si="1"/>
        <v>100</v>
      </c>
      <c r="V16" s="1379" t="s">
        <v>5</v>
      </c>
      <c r="W16" s="1380">
        <f t="shared" si="2"/>
        <v>100</v>
      </c>
      <c r="X16" s="1381"/>
      <c r="Y16" s="4009"/>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102</v>
      </c>
      <c r="G17" s="518"/>
      <c r="H17" s="517">
        <f>SUMIF(84:84,G18,85:85)-SUMIF(84:84,C18,85:85)+100</f>
        <v>102</v>
      </c>
      <c r="I17" s="520"/>
      <c r="J17" s="517">
        <f>SUMIF(84:84,I18,85:85)-SUMIF(84:84,C18,85:85)+100</f>
        <v>102</v>
      </c>
      <c r="K17" s="503">
        <v>2</v>
      </c>
      <c r="L17" s="1863"/>
      <c r="M17" s="1855"/>
      <c r="N17" s="1855"/>
      <c r="O17" s="1862"/>
      <c r="P17" s="4071" t="s">
        <v>489</v>
      </c>
      <c r="Q17" s="1383" t="str">
        <f t="shared" si="6"/>
        <v>产业集聚程度</v>
      </c>
      <c r="R17" s="1384" t="s">
        <v>5</v>
      </c>
      <c r="S17" s="1385">
        <f t="shared" si="0"/>
        <v>102</v>
      </c>
      <c r="T17" s="1384" t="s">
        <v>5</v>
      </c>
      <c r="U17" s="1385">
        <f t="shared" si="1"/>
        <v>102</v>
      </c>
      <c r="V17" s="1384" t="s">
        <v>5</v>
      </c>
      <c r="W17" s="1385">
        <f t="shared" si="2"/>
        <v>102</v>
      </c>
      <c r="X17" s="1378"/>
      <c r="Y17" s="4071" t="s">
        <v>489</v>
      </c>
      <c r="Z17" s="1386" t="str">
        <f t="shared" si="7"/>
        <v>产业集聚程度</v>
      </c>
      <c r="AA17" s="1387">
        <f t="shared" si="3"/>
        <v>0.98039215686274506</v>
      </c>
      <c r="AB17" s="1387">
        <f t="shared" si="4"/>
        <v>0.98039215686274506</v>
      </c>
      <c r="AC17" s="1387">
        <f t="shared" si="5"/>
        <v>0.98039215686274506</v>
      </c>
    </row>
    <row r="18" spans="1:29" ht="15">
      <c r="A18" s="500"/>
      <c r="B18" s="830"/>
      <c r="C18" s="544" t="s">
        <v>3276</v>
      </c>
      <c r="D18" s="523"/>
      <c r="E18" s="522" t="s">
        <v>3522</v>
      </c>
      <c r="F18" s="523"/>
      <c r="G18" s="522" t="s">
        <v>3522</v>
      </c>
      <c r="H18" s="527"/>
      <c r="I18" s="522" t="s">
        <v>3522</v>
      </c>
      <c r="J18" s="523"/>
      <c r="K18" s="499"/>
      <c r="L18" s="1863"/>
      <c r="M18" s="1855"/>
      <c r="N18" s="1855"/>
      <c r="O18" s="1862"/>
      <c r="P18" s="4072"/>
      <c r="Q18" s="1383"/>
      <c r="R18" s="1384"/>
      <c r="S18" s="1385"/>
      <c r="T18" s="1384"/>
      <c r="U18" s="1385"/>
      <c r="V18" s="1384"/>
      <c r="W18" s="1385"/>
      <c r="X18" s="1378"/>
      <c r="Y18" s="4072"/>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4072"/>
      <c r="Q19" s="1383" t="str">
        <f>B19</f>
        <v>交通便捷度</v>
      </c>
      <c r="R19" s="1384" t="s">
        <v>5</v>
      </c>
      <c r="S19" s="1385">
        <f>F19</f>
        <v>100</v>
      </c>
      <c r="T19" s="1384" t="s">
        <v>5</v>
      </c>
      <c r="U19" s="1385">
        <f>H19</f>
        <v>97</v>
      </c>
      <c r="V19" s="1384" t="s">
        <v>5</v>
      </c>
      <c r="W19" s="1385">
        <f>J19</f>
        <v>97</v>
      </c>
      <c r="X19" s="1378"/>
      <c r="Y19" s="4072"/>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4072"/>
      <c r="Q20" s="1383"/>
      <c r="R20" s="1384"/>
      <c r="S20" s="1385"/>
      <c r="T20" s="1384"/>
      <c r="U20" s="1385"/>
      <c r="V20" s="1384"/>
      <c r="W20" s="1385"/>
      <c r="X20" s="1378"/>
      <c r="Y20" s="4072"/>
      <c r="Z20" s="1386"/>
      <c r="AA20" s="1387">
        <v>1</v>
      </c>
      <c r="AB20" s="1387">
        <v>1</v>
      </c>
      <c r="AC20" s="1387">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72"/>
      <c r="Q21" s="1383" t="str">
        <f t="shared" ref="Q21:Q35" si="8">B21</f>
        <v>区域土地利用方向</v>
      </c>
      <c r="R21" s="1384" t="s">
        <v>5</v>
      </c>
      <c r="S21" s="1385">
        <f>F21</f>
        <v>100</v>
      </c>
      <c r="T21" s="1384" t="s">
        <v>5</v>
      </c>
      <c r="U21" s="1385">
        <f>H21</f>
        <v>100</v>
      </c>
      <c r="V21" s="1384" t="s">
        <v>5</v>
      </c>
      <c r="W21" s="1385">
        <f>J21</f>
        <v>100</v>
      </c>
      <c r="X21" s="1378"/>
      <c r="Y21" s="4072"/>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72"/>
      <c r="Q22" s="1383"/>
      <c r="R22" s="1384"/>
      <c r="S22" s="1385"/>
      <c r="T22" s="1384"/>
      <c r="U22" s="1385"/>
      <c r="V22" s="1384"/>
      <c r="W22" s="1385"/>
      <c r="X22" s="1378"/>
      <c r="Y22" s="4072"/>
      <c r="Z22" s="1386"/>
      <c r="AA22" s="1387"/>
      <c r="AB22" s="1387"/>
      <c r="AC22" s="1387"/>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1383" t="str">
        <f t="shared" si="8"/>
        <v>环境状况</v>
      </c>
      <c r="R23" s="1384" t="s">
        <v>5</v>
      </c>
      <c r="S23" s="1385">
        <f>F23</f>
        <v>100</v>
      </c>
      <c r="T23" s="1384" t="s">
        <v>5</v>
      </c>
      <c r="U23" s="1385">
        <f>H23</f>
        <v>100</v>
      </c>
      <c r="V23" s="1384" t="s">
        <v>5</v>
      </c>
      <c r="W23" s="1385">
        <f>J23</f>
        <v>100</v>
      </c>
      <c r="X23" s="1378"/>
      <c r="Y23" s="4072"/>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1383"/>
      <c r="R24" s="1384"/>
      <c r="S24" s="1385"/>
      <c r="T24" s="1384"/>
      <c r="U24" s="1385"/>
      <c r="V24" s="1384"/>
      <c r="W24" s="1385"/>
      <c r="X24" s="1378"/>
      <c r="Y24" s="4072"/>
      <c r="Z24" s="1386"/>
      <c r="AA24" s="1387">
        <v>1</v>
      </c>
      <c r="AB24" s="1387">
        <v>1</v>
      </c>
      <c r="AC24" s="1387">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1048" t="str">
        <f t="shared" si="8"/>
        <v>公共配套设施</v>
      </c>
      <c r="R25" s="1379" t="s">
        <v>5</v>
      </c>
      <c r="S25" s="1380">
        <f>F25</f>
        <v>100</v>
      </c>
      <c r="T25" s="1379" t="s">
        <v>5</v>
      </c>
      <c r="U25" s="1380">
        <f>H25</f>
        <v>100</v>
      </c>
      <c r="V25" s="1379" t="s">
        <v>5</v>
      </c>
      <c r="W25" s="1380">
        <f>J25</f>
        <v>100</v>
      </c>
      <c r="X25" s="1381"/>
      <c r="Y25" s="4072"/>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4072"/>
      <c r="Q26" s="1048"/>
      <c r="R26" s="1379"/>
      <c r="S26" s="1380"/>
      <c r="T26" s="1379"/>
      <c r="U26" s="1380"/>
      <c r="V26" s="1379"/>
      <c r="W26" s="1380"/>
      <c r="X26" s="1381"/>
      <c r="Y26" s="4072"/>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72"/>
      <c r="Q27" s="2190" t="str">
        <f>B27</f>
        <v>基础设施水平</v>
      </c>
      <c r="R27" s="1379" t="s">
        <v>5</v>
      </c>
      <c r="S27" s="1380">
        <f>F27</f>
        <v>100</v>
      </c>
      <c r="T27" s="1379" t="s">
        <v>5</v>
      </c>
      <c r="U27" s="1380">
        <f>H27</f>
        <v>100</v>
      </c>
      <c r="V27" s="1379" t="s">
        <v>5</v>
      </c>
      <c r="W27" s="1380">
        <f>J27</f>
        <v>100</v>
      </c>
      <c r="X27" s="1381"/>
      <c r="Y27" s="4072"/>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4072"/>
      <c r="Q28" s="2190"/>
      <c r="R28" s="1379"/>
      <c r="S28" s="1380"/>
      <c r="T28" s="1379"/>
      <c r="U28" s="1380"/>
      <c r="V28" s="1379"/>
      <c r="W28" s="1380"/>
      <c r="X28" s="1381"/>
      <c r="Y28" s="4072"/>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072"/>
      <c r="Z29" s="1386" t="str">
        <f t="shared" ref="Z29:Z42" si="12">Q29</f>
        <v>临街状况</v>
      </c>
      <c r="AA29" s="1387">
        <f t="shared" si="3"/>
        <v>1</v>
      </c>
      <c r="AB29" s="1387">
        <f t="shared" si="4"/>
        <v>1</v>
      </c>
      <c r="AC29" s="1387">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1383" t="str">
        <f t="shared" si="8"/>
        <v>毗邻道路的类型与等级</v>
      </c>
      <c r="R30" s="1384" t="s">
        <v>5</v>
      </c>
      <c r="S30" s="1385">
        <f t="shared" si="9"/>
        <v>100</v>
      </c>
      <c r="T30" s="1384" t="s">
        <v>5</v>
      </c>
      <c r="U30" s="1385">
        <f t="shared" si="10"/>
        <v>100</v>
      </c>
      <c r="V30" s="1384" t="s">
        <v>5</v>
      </c>
      <c r="W30" s="1385">
        <f t="shared" si="11"/>
        <v>100</v>
      </c>
      <c r="X30" s="1378"/>
      <c r="Y30" s="4072"/>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4072"/>
      <c r="Q31" s="1383"/>
      <c r="R31" s="1384"/>
      <c r="S31" s="1385"/>
      <c r="T31" s="1384"/>
      <c r="U31" s="1385"/>
      <c r="V31" s="1384"/>
      <c r="W31" s="1385"/>
      <c r="X31" s="1378"/>
      <c r="Y31" s="4072"/>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97</v>
      </c>
      <c r="I32" s="548" t="s">
        <v>1156</v>
      </c>
      <c r="J32" s="508">
        <f>SUMIF(100:100,I32,101:101)-SUMIF(100:100,C32,101:101)+100</f>
        <v>97</v>
      </c>
      <c r="K32" s="552">
        <v>3</v>
      </c>
      <c r="L32" s="1863"/>
      <c r="M32" s="1855"/>
      <c r="N32" s="1855"/>
      <c r="O32" s="1862"/>
      <c r="P32" s="4072"/>
      <c r="Q32" s="1383" t="str">
        <f t="shared" si="8"/>
        <v>土地级别</v>
      </c>
      <c r="R32" s="1384" t="s">
        <v>5</v>
      </c>
      <c r="S32" s="1385">
        <f t="shared" si="9"/>
        <v>100</v>
      </c>
      <c r="T32" s="1384" t="s">
        <v>5</v>
      </c>
      <c r="U32" s="1385">
        <f t="shared" si="10"/>
        <v>97</v>
      </c>
      <c r="V32" s="1384" t="s">
        <v>5</v>
      </c>
      <c r="W32" s="1385">
        <f t="shared" si="11"/>
        <v>97</v>
      </c>
      <c r="X32" s="1378"/>
      <c r="Y32" s="4072"/>
      <c r="Z32" s="1386" t="str">
        <f t="shared" si="12"/>
        <v>土地级别</v>
      </c>
      <c r="AA32" s="1387">
        <f t="shared" si="3"/>
        <v>1</v>
      </c>
      <c r="AB32" s="1387">
        <f t="shared" si="4"/>
        <v>1.0309278350515463</v>
      </c>
      <c r="AC32" s="1387">
        <f t="shared" si="5"/>
        <v>1.0309278350515463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1383">
        <f t="shared" si="8"/>
        <v>111</v>
      </c>
      <c r="R33" s="1384" t="s">
        <v>5</v>
      </c>
      <c r="S33" s="1385">
        <f t="shared" si="9"/>
        <v>100</v>
      </c>
      <c r="T33" s="1384" t="s">
        <v>5</v>
      </c>
      <c r="U33" s="1385">
        <f t="shared" si="10"/>
        <v>100</v>
      </c>
      <c r="V33" s="1384" t="s">
        <v>5</v>
      </c>
      <c r="W33" s="1385">
        <f t="shared" si="11"/>
        <v>100</v>
      </c>
      <c r="X33" s="1378"/>
      <c r="Y33" s="4072"/>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1383">
        <f t="shared" si="8"/>
        <v>111</v>
      </c>
      <c r="R34" s="1384" t="s">
        <v>5</v>
      </c>
      <c r="S34" s="1385">
        <f t="shared" si="9"/>
        <v>100</v>
      </c>
      <c r="T34" s="1384" t="s">
        <v>5</v>
      </c>
      <c r="U34" s="1385">
        <f t="shared" si="10"/>
        <v>100</v>
      </c>
      <c r="V34" s="1384" t="s">
        <v>5</v>
      </c>
      <c r="W34" s="1385">
        <f t="shared" si="11"/>
        <v>100</v>
      </c>
      <c r="X34" s="1378"/>
      <c r="Y34" s="4074"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1383">
        <f t="shared" si="8"/>
        <v>111</v>
      </c>
      <c r="R35" s="1388" t="s">
        <v>5</v>
      </c>
      <c r="S35" s="1389">
        <f t="shared" si="9"/>
        <v>100</v>
      </c>
      <c r="T35" s="1388" t="s">
        <v>5</v>
      </c>
      <c r="U35" s="1389">
        <f t="shared" si="10"/>
        <v>100</v>
      </c>
      <c r="V35" s="1388" t="s">
        <v>5</v>
      </c>
      <c r="W35" s="1389">
        <f t="shared" si="11"/>
        <v>100</v>
      </c>
      <c r="X35" s="1390"/>
      <c r="Y35" s="4074"/>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公开市场案例!E6</f>
        <v>13991.5</v>
      </c>
      <c r="F36" s="565">
        <f>LOOKUP(E36,109:109,110:110)-LOOKUP(C36,109:109,110:110)+100</f>
        <v>100</v>
      </c>
      <c r="G36" s="564">
        <f>公开市场案例!E9</f>
        <v>26650.41</v>
      </c>
      <c r="H36" s="565">
        <f>LOOKUP(G36,109:109,110:110)-LOOKUP(C36,109:109,110:110)+100</f>
        <v>100</v>
      </c>
      <c r="I36" s="566">
        <f>公开市场案例!$E$7</f>
        <v>77481.740000000005</v>
      </c>
      <c r="J36" s="565">
        <f>LOOKUP(I36,109:109,110:110)-LOOKUP(C36,109:109,110:110)+100</f>
        <v>98</v>
      </c>
      <c r="K36" s="549"/>
      <c r="L36" s="1863"/>
      <c r="M36" s="1855"/>
      <c r="N36" s="1855"/>
      <c r="O36" s="1862"/>
      <c r="P36" s="4074"/>
      <c r="Q36" s="1383" t="str">
        <f>B36</f>
        <v>宗地面积</v>
      </c>
      <c r="R36" s="1384" t="s">
        <v>5</v>
      </c>
      <c r="S36" s="1385">
        <f t="shared" si="9"/>
        <v>100</v>
      </c>
      <c r="T36" s="1384" t="s">
        <v>5</v>
      </c>
      <c r="U36" s="1385">
        <f t="shared" si="10"/>
        <v>100</v>
      </c>
      <c r="V36" s="1384" t="s">
        <v>5</v>
      </c>
      <c r="W36" s="1385">
        <f t="shared" si="11"/>
        <v>98</v>
      </c>
      <c r="X36" s="1378"/>
      <c r="Y36" s="4074"/>
      <c r="Z36" s="1386" t="str">
        <f t="shared" si="12"/>
        <v>宗地面积</v>
      </c>
      <c r="AA36" s="1387">
        <f t="shared" si="3"/>
        <v>1</v>
      </c>
      <c r="AB36" s="1387">
        <f t="shared" si="4"/>
        <v>1</v>
      </c>
      <c r="AC36" s="1387">
        <f t="shared" si="5"/>
        <v>1.0204081632653061</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1383" t="str">
        <f t="shared" ref="Q37:Q42" si="13">B37</f>
        <v>宗地形状</v>
      </c>
      <c r="R37" s="1384" t="s">
        <v>5</v>
      </c>
      <c r="S37" s="1385">
        <f t="shared" si="9"/>
        <v>100</v>
      </c>
      <c r="T37" s="1384" t="s">
        <v>5</v>
      </c>
      <c r="U37" s="1385">
        <f t="shared" si="10"/>
        <v>100</v>
      </c>
      <c r="V37" s="1384" t="s">
        <v>5</v>
      </c>
      <c r="W37" s="1385">
        <f t="shared" si="11"/>
        <v>100</v>
      </c>
      <c r="X37" s="1378"/>
      <c r="Y37" s="4074"/>
      <c r="Z37" s="1386" t="str">
        <f t="shared" si="12"/>
        <v>宗地形状</v>
      </c>
      <c r="AA37" s="1387">
        <f t="shared" si="3"/>
        <v>1</v>
      </c>
      <c r="AB37" s="1387">
        <f t="shared" si="4"/>
        <v>1</v>
      </c>
      <c r="AC37" s="1387">
        <f t="shared" si="5"/>
        <v>1</v>
      </c>
    </row>
    <row r="38" spans="1:29" s="1116" customFormat="1" ht="15">
      <c r="A38" s="568"/>
      <c r="B38" s="1649" t="s">
        <v>1776</v>
      </c>
      <c r="C38" s="569" t="s">
        <v>3508</v>
      </c>
      <c r="D38" s="246">
        <v>100</v>
      </c>
      <c r="E38" s="569" t="s">
        <v>3505</v>
      </c>
      <c r="F38" s="508">
        <f>SUMIF(113:113,E38,114:114)-SUMIF(113:113,C38,114:114)+100</f>
        <v>99</v>
      </c>
      <c r="G38" s="569" t="s">
        <v>3502</v>
      </c>
      <c r="H38" s="508">
        <f>SUMIF(113:113,G38,114:114)-SUMIF(113:113,C38,114:114)+100</f>
        <v>98</v>
      </c>
      <c r="I38" s="569" t="s">
        <v>3508</v>
      </c>
      <c r="J38" s="508">
        <f>SUMIF(113:113,I38,114:114)-SUMIF(113:113,C38,114:114)+100</f>
        <v>100</v>
      </c>
      <c r="K38" s="552">
        <v>1</v>
      </c>
      <c r="L38" s="1856"/>
      <c r="M38" s="1857"/>
      <c r="N38" s="1857"/>
      <c r="O38" s="1858"/>
      <c r="P38" s="4074"/>
      <c r="Q38" s="1383" t="str">
        <f t="shared" si="13"/>
        <v>宗地开发程度</v>
      </c>
      <c r="R38" s="1379" t="s">
        <v>5</v>
      </c>
      <c r="S38" s="1380">
        <f t="shared" si="9"/>
        <v>99</v>
      </c>
      <c r="T38" s="1379" t="s">
        <v>5</v>
      </c>
      <c r="U38" s="1380">
        <f t="shared" si="10"/>
        <v>98</v>
      </c>
      <c r="V38" s="1379" t="s">
        <v>5</v>
      </c>
      <c r="W38" s="1380">
        <f t="shared" si="11"/>
        <v>100</v>
      </c>
      <c r="X38" s="1381"/>
      <c r="Y38" s="4074"/>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549</v>
      </c>
      <c r="Q39" s="1383" t="str">
        <f t="shared" si="13"/>
        <v>工程地质条件</v>
      </c>
      <c r="R39" s="1384" t="s">
        <v>5</v>
      </c>
      <c r="S39" s="1385">
        <f t="shared" si="9"/>
        <v>100</v>
      </c>
      <c r="T39" s="1384" t="s">
        <v>5</v>
      </c>
      <c r="U39" s="1385">
        <f t="shared" si="10"/>
        <v>100</v>
      </c>
      <c r="V39" s="1384" t="s">
        <v>5</v>
      </c>
      <c r="W39" s="1385">
        <f t="shared" si="11"/>
        <v>100</v>
      </c>
      <c r="X39" s="1378"/>
      <c r="Y39" s="4074"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74"/>
      <c r="Q40" s="1383">
        <f t="shared" si="13"/>
        <v>111</v>
      </c>
      <c r="R40" s="1384" t="s">
        <v>5</v>
      </c>
      <c r="S40" s="1385">
        <f t="shared" si="9"/>
        <v>100</v>
      </c>
      <c r="T40" s="1384" t="s">
        <v>5</v>
      </c>
      <c r="U40" s="1385">
        <f t="shared" si="10"/>
        <v>100</v>
      </c>
      <c r="V40" s="1384" t="s">
        <v>5</v>
      </c>
      <c r="W40" s="1385">
        <f t="shared" si="11"/>
        <v>100</v>
      </c>
      <c r="X40" s="1378"/>
      <c r="Y40" s="4074"/>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1383">
        <f t="shared" si="13"/>
        <v>111</v>
      </c>
      <c r="R41" s="1384" t="s">
        <v>5</v>
      </c>
      <c r="S41" s="1385">
        <f t="shared" si="9"/>
        <v>100</v>
      </c>
      <c r="T41" s="1384" t="s">
        <v>5</v>
      </c>
      <c r="U41" s="1385">
        <f t="shared" si="10"/>
        <v>100</v>
      </c>
      <c r="V41" s="1384" t="s">
        <v>5</v>
      </c>
      <c r="W41" s="1385">
        <f t="shared" si="11"/>
        <v>100</v>
      </c>
      <c r="X41" s="1378"/>
      <c r="Y41" s="4074"/>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1383">
        <f t="shared" si="13"/>
        <v>111</v>
      </c>
      <c r="R42" s="1388" t="s">
        <v>5</v>
      </c>
      <c r="S42" s="1389">
        <f t="shared" si="9"/>
        <v>100</v>
      </c>
      <c r="T42" s="1388" t="s">
        <v>5</v>
      </c>
      <c r="U42" s="1389">
        <f t="shared" si="10"/>
        <v>100</v>
      </c>
      <c r="V42" s="1388" t="s">
        <v>5</v>
      </c>
      <c r="W42" s="1389">
        <f t="shared" si="11"/>
        <v>100</v>
      </c>
      <c r="X42" s="1390"/>
      <c r="Y42" s="4074"/>
      <c r="Z42" s="1391">
        <f t="shared" si="12"/>
        <v>111</v>
      </c>
      <c r="AA42" s="1387">
        <f t="shared" si="3"/>
        <v>1</v>
      </c>
      <c r="AB42" s="1387">
        <f t="shared" si="4"/>
        <v>1</v>
      </c>
      <c r="AC42" s="1387">
        <f t="shared" si="5"/>
        <v>1</v>
      </c>
    </row>
    <row r="43" spans="1:29" ht="15">
      <c r="A43" s="575" t="s">
        <v>505</v>
      </c>
      <c r="B43" s="576" t="s">
        <v>2195</v>
      </c>
      <c r="C43" s="577" t="s">
        <v>0</v>
      </c>
      <c r="D43" s="578"/>
      <c r="E43" s="579">
        <f>公开市场案例!S6</f>
        <v>1896</v>
      </c>
      <c r="F43" s="580"/>
      <c r="G43" s="581">
        <f>公开市场案例!S9</f>
        <v>1791</v>
      </c>
      <c r="H43" s="582"/>
      <c r="I43" s="579">
        <f>公开市场案例!$S$7</f>
        <v>1531</v>
      </c>
      <c r="J43" s="582"/>
      <c r="K43" s="1199"/>
      <c r="L43" s="1865"/>
      <c r="M43" s="1855"/>
      <c r="N43" s="1855"/>
      <c r="O43" s="1866"/>
      <c r="P43" s="4069" t="str">
        <f>A43</f>
        <v>成交单价</v>
      </c>
      <c r="Q43" s="4069"/>
      <c r="R43" s="4085">
        <f>E43</f>
        <v>1896</v>
      </c>
      <c r="S43" s="4085"/>
      <c r="T43" s="4085">
        <f>G43</f>
        <v>1791</v>
      </c>
      <c r="U43" s="4085"/>
      <c r="V43" s="4085">
        <f>I43</f>
        <v>1531</v>
      </c>
      <c r="W43" s="4085"/>
      <c r="X43" s="1373"/>
      <c r="Y43" s="1392"/>
      <c r="Z43" s="1373"/>
      <c r="AA43" s="1373"/>
      <c r="AB43" s="1373"/>
      <c r="AC43" s="1373"/>
    </row>
    <row r="44" spans="1:29" ht="15.75" thickBot="1">
      <c r="A44" s="583" t="s">
        <v>1975</v>
      </c>
      <c r="B44" s="584"/>
      <c r="C44" s="585">
        <f>R45</f>
        <v>1835</v>
      </c>
      <c r="D44" s="2755" t="s">
        <v>2259</v>
      </c>
      <c r="E44" s="585">
        <f>R44</f>
        <v>1926</v>
      </c>
      <c r="F44" s="2756"/>
      <c r="G44" s="586">
        <f>T44</f>
        <v>1929</v>
      </c>
      <c r="H44" s="2756"/>
      <c r="I44" s="585">
        <f>V44</f>
        <v>1649</v>
      </c>
      <c r="J44" s="2756"/>
      <c r="K44" s="2757">
        <f>F44+H44+J44</f>
        <v>0</v>
      </c>
      <c r="L44" s="1865"/>
      <c r="M44" s="1855"/>
      <c r="N44" s="1855"/>
      <c r="O44" s="1866"/>
      <c r="P44" s="4069" t="str">
        <f>A44</f>
        <v>比较价格（元/平方米）</v>
      </c>
      <c r="Q44" s="4069"/>
      <c r="R44" s="4093">
        <f>ROUND(PRODUCT(R43,AA9:AA42),0)</f>
        <v>1926</v>
      </c>
      <c r="S44" s="4093"/>
      <c r="T44" s="4093">
        <f>ROUND(PRODUCT(T43,AB9:AB42),0)</f>
        <v>1929</v>
      </c>
      <c r="U44" s="4093"/>
      <c r="V44" s="4093">
        <f>ROUND(PRODUCT(V43,AC9:AC42),0)</f>
        <v>1649</v>
      </c>
      <c r="W44" s="4093"/>
      <c r="X44" s="1373"/>
      <c r="Y44" s="1373"/>
      <c r="Z44" s="1373"/>
      <c r="AA44" s="1373"/>
      <c r="AB44" s="1373"/>
      <c r="AC44" s="1373"/>
    </row>
    <row r="45" spans="1:29" ht="15.75" thickBot="1">
      <c r="A45" s="587" t="s">
        <v>2196</v>
      </c>
      <c r="B45" s="588"/>
      <c r="C45" s="589">
        <f>R45</f>
        <v>1835</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1835</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1.5822784810126667E-2</v>
      </c>
      <c r="F48" s="593" t="str">
        <f>IF(OR(E48&gt;=0.3,E48&lt;=-0.3),"超过30%","")</f>
        <v/>
      </c>
      <c r="G48" s="592">
        <f>IF(G43&lt;G44,G44/G43-1,G43/G44-1)</f>
        <v>7.7051926298157492E-2</v>
      </c>
      <c r="H48" s="593" t="str">
        <f>IF(OR(G48&gt;=0.3,G48&lt;=-0.3),"超过30%","")</f>
        <v/>
      </c>
      <c r="I48" s="592">
        <f>IF(I43&lt;I44,I44/I43-1,I43/I44-1)</f>
        <v>7.7073807968647934E-2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1.5576323987538387E-3</v>
      </c>
      <c r="F49" s="593" t="str">
        <f>IF(OR(E49&gt;=0.2,E49&lt;=-0.2),"超过20%","")</f>
        <v/>
      </c>
      <c r="G49" s="592">
        <f>IF(G44&lt;I44,I44/G44-1,G44/I44-1)</f>
        <v>0.16979987871437241</v>
      </c>
      <c r="H49" s="593" t="str">
        <f>IF(OR(G49&gt;=0.2,G49&lt;=-0.2),"超过20%","")</f>
        <v/>
      </c>
      <c r="I49" s="592">
        <f>IF(I44&lt;E44,E44/I44-1,I44/E44-1)</f>
        <v>0.16798059429957557</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0.16982364467668187</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1835</v>
      </c>
      <c r="C53" s="601">
        <v>1</v>
      </c>
      <c r="D53" s="1945">
        <v>1</v>
      </c>
      <c r="E53" s="601">
        <f>'数据-汇总表'!E8+'数据-汇总表'!E9</f>
        <v>22121.8</v>
      </c>
      <c r="F53" s="1704">
        <f t="shared" ref="F53:F61" si="14">ROUND(B53*E53/10000,0)</f>
        <v>4059</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4059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M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f>'地价-分区'!H6</f>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3520</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0（含）-0</v>
      </c>
      <c r="D75" s="648" t="str">
        <f t="shared" ref="D75:L75" si="20">D76&amp;"（含）"&amp;"-"&amp;E76</f>
        <v>0（含）-0</v>
      </c>
      <c r="E75" s="648" t="str">
        <f t="shared" si="20"/>
        <v>0（含）-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0</v>
      </c>
      <c r="E76" s="509">
        <v>0</v>
      </c>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3511</v>
      </c>
      <c r="D100" s="3749" t="s">
        <v>3512</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97</v>
      </c>
      <c r="E101" s="645">
        <f t="shared" si="24"/>
        <v>94</v>
      </c>
      <c r="F101" s="645">
        <f t="shared" si="24"/>
        <v>91</v>
      </c>
      <c r="G101" s="645">
        <f t="shared" si="24"/>
        <v>88</v>
      </c>
      <c r="H101" s="645">
        <f t="shared" si="24"/>
        <v>85</v>
      </c>
      <c r="I101" s="645">
        <f t="shared" si="24"/>
        <v>82</v>
      </c>
      <c r="J101" s="645">
        <f t="shared" si="24"/>
        <v>79</v>
      </c>
      <c r="K101" s="645">
        <f t="shared" si="24"/>
        <v>76</v>
      </c>
      <c r="L101" s="645">
        <f t="shared" si="24"/>
        <v>73</v>
      </c>
      <c r="M101" s="645">
        <f t="shared" si="24"/>
        <v>70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233" priority="18" stopIfTrue="1" operator="containsText" text="超过">
      <formula>NOT(ISERROR(SEARCH("超过",F48)))</formula>
    </cfRule>
  </conditionalFormatting>
  <conditionalFormatting sqref="J50">
    <cfRule type="containsText" dxfId="232" priority="17" stopIfTrue="1" operator="containsText" text="超过">
      <formula>NOT(ISERROR(SEARCH("超过",J50)))</formula>
    </cfRule>
  </conditionalFormatting>
  <conditionalFormatting sqref="H50">
    <cfRule type="containsText" dxfId="231" priority="16" stopIfTrue="1" operator="containsText" text="超过">
      <formula>NOT(ISERROR(SEARCH("超过",H50)))</formula>
    </cfRule>
  </conditionalFormatting>
  <conditionalFormatting sqref="F50">
    <cfRule type="containsText" dxfId="230" priority="15" stopIfTrue="1" operator="containsText" text="超过">
      <formula>NOT(ISERROR(SEARCH("超过",F50)))</formula>
    </cfRule>
  </conditionalFormatting>
  <conditionalFormatting sqref="F49 H49 J49">
    <cfRule type="containsText" dxfId="229" priority="14" stopIfTrue="1" operator="containsText" text="超过">
      <formula>NOT(ISERROR(SEARCH("超过",F49)))</formula>
    </cfRule>
  </conditionalFormatting>
  <conditionalFormatting sqref="E48">
    <cfRule type="expression" dxfId="228" priority="13" stopIfTrue="1">
      <formula>$F$48="超过30%"</formula>
    </cfRule>
  </conditionalFormatting>
  <conditionalFormatting sqref="G50">
    <cfRule type="expression" dxfId="227" priority="12" stopIfTrue="1">
      <formula>$H$50="超过30%"</formula>
    </cfRule>
  </conditionalFormatting>
  <conditionalFormatting sqref="E50">
    <cfRule type="expression" dxfId="226" priority="10" stopIfTrue="1">
      <formula>$F$50="超过30%"</formula>
    </cfRule>
  </conditionalFormatting>
  <conditionalFormatting sqref="G48">
    <cfRule type="expression" dxfId="225" priority="9" stopIfTrue="1">
      <formula>$H$48="超过30%"</formula>
    </cfRule>
  </conditionalFormatting>
  <conditionalFormatting sqref="G49">
    <cfRule type="expression" dxfId="224" priority="8" stopIfTrue="1">
      <formula>$H$49="超过20%"</formula>
    </cfRule>
  </conditionalFormatting>
  <conditionalFormatting sqref="I48">
    <cfRule type="expression" dxfId="223" priority="7" stopIfTrue="1">
      <formula>$J$48="超过30%"</formula>
    </cfRule>
  </conditionalFormatting>
  <conditionalFormatting sqref="I49">
    <cfRule type="expression" dxfId="222" priority="6" stopIfTrue="1">
      <formula>$J$49="超过20%"</formula>
    </cfRule>
  </conditionalFormatting>
  <conditionalFormatting sqref="I50">
    <cfRule type="expression" dxfId="221" priority="5" stopIfTrue="1">
      <formula>$J$50="超过30%"</formula>
    </cfRule>
  </conditionalFormatting>
  <conditionalFormatting sqref="E49">
    <cfRule type="expression" dxfId="220" priority="51" stopIfTrue="1">
      <formula>#REF!+$F$49="超过20%"</formula>
    </cfRule>
  </conditionalFormatting>
  <conditionalFormatting sqref="F44">
    <cfRule type="expression" dxfId="219" priority="4">
      <formula>$D$44="简单平均"</formula>
    </cfRule>
  </conditionalFormatting>
  <conditionalFormatting sqref="H44">
    <cfRule type="expression" dxfId="218" priority="3">
      <formula>$D$44="简单平均"</formula>
    </cfRule>
  </conditionalFormatting>
  <conditionalFormatting sqref="J44">
    <cfRule type="expression" dxfId="217" priority="2">
      <formula>$D$44="简单平均"</formula>
    </cfRule>
  </conditionalFormatting>
  <conditionalFormatting sqref="F9:F42 H9:H42 J9:J42">
    <cfRule type="cellIs" dxfId="216"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D7AF1-198C-4E43-A4C3-8270199B49F5}">
  <sheetPr>
    <tabColor rgb="FF92D050"/>
    <pageSetUpPr fitToPage="1"/>
  </sheetPr>
  <dimension ref="A1:AC261"/>
  <sheetViews>
    <sheetView view="pageBreakPreview" zoomScale="90" zoomScaleNormal="50" zoomScaleSheetLayoutView="90" workbookViewId="0">
      <selection sqref="A1:L15"/>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10453</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4725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4725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315</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3788"/>
      <c r="Y6" s="4063" t="s">
        <v>476</v>
      </c>
      <c r="Z6" s="4064"/>
      <c r="AA6" s="4058" t="s">
        <v>472</v>
      </c>
      <c r="AB6" s="4059" t="s">
        <v>473</v>
      </c>
      <c r="AC6" s="4058" t="s">
        <v>474</v>
      </c>
    </row>
    <row r="7" spans="1:29" ht="15">
      <c r="A7" s="483"/>
      <c r="B7" s="484"/>
      <c r="C7" s="4088" t="s">
        <v>2190</v>
      </c>
      <c r="D7" s="4089"/>
      <c r="E7" s="4101" t="str">
        <f>'征收腾退案例（何金峰）'!B2</f>
        <v>大兴区旧宫镇万源北路道路工程大兴段</v>
      </c>
      <c r="F7" s="4102"/>
      <c r="G7" s="4088" t="str">
        <f>'征收腾退案例（何金峰）'!B6</f>
        <v>北京市京粮潞河粮食收储有限公司</v>
      </c>
      <c r="H7" s="4089"/>
      <c r="I7" s="4088" t="str">
        <f>'征收腾退案例（何金峰）'!B13</f>
        <v>广渠路东延(怡乐西路-东六环路)道路工程国有</v>
      </c>
      <c r="J7" s="4089"/>
      <c r="K7" s="482"/>
      <c r="L7" s="1854"/>
      <c r="M7" s="1855"/>
      <c r="N7" s="1855"/>
      <c r="O7" s="1855"/>
      <c r="P7" s="4081"/>
      <c r="Q7" s="4082"/>
      <c r="R7" s="4065"/>
      <c r="S7" s="4066"/>
      <c r="T7" s="4065"/>
      <c r="U7" s="4066"/>
      <c r="V7" s="4085"/>
      <c r="W7" s="4085"/>
      <c r="X7" s="3788"/>
      <c r="Y7" s="4065"/>
      <c r="Z7" s="4066"/>
      <c r="AA7" s="4059"/>
      <c r="AB7" s="4059"/>
      <c r="AC7" s="4059"/>
    </row>
    <row r="8" spans="1:29" ht="15.75" thickBot="1">
      <c r="A8" s="485"/>
      <c r="B8" s="486"/>
      <c r="C8" s="4086" t="s">
        <v>2194</v>
      </c>
      <c r="D8" s="4087"/>
      <c r="E8" s="4103" t="str">
        <f>'征收腾退案例（何金峰）'!$C$2</f>
        <v>大兴</v>
      </c>
      <c r="F8" s="4104"/>
      <c r="G8" s="4105" t="str">
        <f>'征收腾退案例（何金峰）'!$C$6</f>
        <v>通州</v>
      </c>
      <c r="H8" s="4087"/>
      <c r="I8" s="4105" t="str">
        <f>'征收腾退案例（何金峰）'!$C$13</f>
        <v>通州</v>
      </c>
      <c r="J8" s="4087"/>
      <c r="K8" s="482" t="s">
        <v>477</v>
      </c>
      <c r="L8" s="1854"/>
      <c r="M8" s="1855"/>
      <c r="N8" s="1855"/>
      <c r="O8" s="1855"/>
      <c r="P8" s="4083"/>
      <c r="Q8" s="4084"/>
      <c r="R8" s="4065"/>
      <c r="S8" s="4066"/>
      <c r="T8" s="4067"/>
      <c r="U8" s="4068"/>
      <c r="V8" s="4085"/>
      <c r="W8" s="4085"/>
      <c r="X8" s="3788"/>
      <c r="Y8" s="4067"/>
      <c r="Z8" s="4068"/>
      <c r="AA8" s="4060"/>
      <c r="AB8" s="4060"/>
      <c r="AC8" s="4060"/>
    </row>
    <row r="9" spans="1:29" s="1116" customFormat="1" ht="15.75" thickBot="1">
      <c r="A9" s="2390"/>
      <c r="B9" s="2397" t="s">
        <v>478</v>
      </c>
      <c r="C9" s="487">
        <f>'数据-取费表'!B2</f>
        <v>45173</v>
      </c>
      <c r="D9" s="488">
        <v>100</v>
      </c>
      <c r="E9" s="489">
        <f>'征收腾退案例（何金峰）'!$D$2</f>
        <v>44136</v>
      </c>
      <c r="F9" s="490">
        <f>SUMIF(66:66,YEAR(E9)&amp;"-"&amp;INT((MONTH(E9)+2)/3),67:67)</f>
        <v>90.89</v>
      </c>
      <c r="G9" s="491">
        <f>'征收腾退案例（何金峰）'!D6</f>
        <v>43540</v>
      </c>
      <c r="H9" s="488">
        <f>SUMIF(66:66,YEAR(G9)&amp;"-"&amp;INT((MONTH(G9)+2)/3),67:67)</f>
        <v>86.75</v>
      </c>
      <c r="I9" s="491">
        <f>'征收腾退案例（何金峰）'!D13</f>
        <v>43525</v>
      </c>
      <c r="J9" s="488">
        <f>SUMIF(66:66,YEAR(I9)&amp;"-"&amp;INT((MONTH(I9)+2)/3),67:67)</f>
        <v>86.75</v>
      </c>
      <c r="K9" s="492"/>
      <c r="L9" s="1856"/>
      <c r="M9" s="1857"/>
      <c r="N9" s="1857"/>
      <c r="O9" s="1857"/>
      <c r="P9" s="4061" t="s">
        <v>479</v>
      </c>
      <c r="Q9" s="4070"/>
      <c r="R9" s="1379" t="s">
        <v>5</v>
      </c>
      <c r="S9" s="1380">
        <f t="shared" ref="S9:S17" si="0">F9</f>
        <v>90.89</v>
      </c>
      <c r="T9" s="1379" t="s">
        <v>5</v>
      </c>
      <c r="U9" s="1380">
        <f t="shared" ref="U9:U17" si="1">H9</f>
        <v>86.75</v>
      </c>
      <c r="V9" s="1379" t="s">
        <v>5</v>
      </c>
      <c r="W9" s="1380">
        <f t="shared" ref="W9:W17" si="2">J9</f>
        <v>86.75</v>
      </c>
      <c r="X9" s="1381"/>
      <c r="Y9" s="4061" t="s">
        <v>479</v>
      </c>
      <c r="Z9" s="4062"/>
      <c r="AA9" s="1382">
        <f>D9/F9</f>
        <v>1.1002310485201892</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3787" t="str">
        <f t="shared" ref="Q11:Q17" si="6">B11</f>
        <v>用途</v>
      </c>
      <c r="R11" s="1379" t="s">
        <v>5</v>
      </c>
      <c r="S11" s="1380">
        <f t="shared" si="0"/>
        <v>100</v>
      </c>
      <c r="T11" s="1379" t="s">
        <v>5</v>
      </c>
      <c r="U11" s="1380">
        <f t="shared" si="1"/>
        <v>100</v>
      </c>
      <c r="V11" s="1379" t="s">
        <v>5</v>
      </c>
      <c r="W11" s="1380">
        <f t="shared" si="2"/>
        <v>100</v>
      </c>
      <c r="X11" s="1381"/>
      <c r="Y11" s="4009" t="s">
        <v>485</v>
      </c>
      <c r="Z11" s="3786"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9"/>
      <c r="Q12" s="3787" t="str">
        <f t="shared" si="6"/>
        <v>土地使用年限（年）</v>
      </c>
      <c r="R12" s="1379" t="s">
        <v>5</v>
      </c>
      <c r="S12" s="1380">
        <f t="shared" si="0"/>
        <v>100</v>
      </c>
      <c r="T12" s="1379" t="s">
        <v>5</v>
      </c>
      <c r="U12" s="1380">
        <f t="shared" si="1"/>
        <v>100</v>
      </c>
      <c r="V12" s="1379" t="s">
        <v>5</v>
      </c>
      <c r="W12" s="1380">
        <f t="shared" si="2"/>
        <v>100</v>
      </c>
      <c r="X12" s="1381"/>
      <c r="Y12" s="4009"/>
      <c r="Z12" s="3786"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9"/>
      <c r="Q13" s="3787" t="str">
        <f t="shared" si="6"/>
        <v>容积率</v>
      </c>
      <c r="R13" s="1379" t="s">
        <v>5</v>
      </c>
      <c r="S13" s="1380">
        <f t="shared" si="0"/>
        <v>100</v>
      </c>
      <c r="T13" s="1379" t="s">
        <v>5</v>
      </c>
      <c r="U13" s="1380">
        <f t="shared" si="1"/>
        <v>100</v>
      </c>
      <c r="V13" s="1379" t="s">
        <v>5</v>
      </c>
      <c r="W13" s="1380">
        <f t="shared" si="2"/>
        <v>100</v>
      </c>
      <c r="X13" s="1381"/>
      <c r="Y13" s="4009"/>
      <c r="Z13" s="3786" t="str">
        <f t="shared" si="7"/>
        <v>容积率</v>
      </c>
      <c r="AA13" s="1382">
        <f t="shared" si="3"/>
        <v>1</v>
      </c>
      <c r="AB13" s="1382">
        <f t="shared" si="4"/>
        <v>1</v>
      </c>
      <c r="AC13" s="1382">
        <f t="shared" si="5"/>
        <v>1</v>
      </c>
    </row>
    <row r="14" spans="1:29" s="1116" customFormat="1" ht="15">
      <c r="A14" s="2395"/>
      <c r="B14" s="2401">
        <v>111</v>
      </c>
      <c r="C14" s="3817" t="s">
        <v>3765</v>
      </c>
      <c r="D14" s="506">
        <v>100</v>
      </c>
      <c r="E14" s="3818" t="s">
        <v>3766</v>
      </c>
      <c r="F14" s="246">
        <f>SUMIF(78:78,E14,79:79)-SUMIF(78:78,C14,79:79)+100</f>
        <v>100</v>
      </c>
      <c r="G14" s="510" t="str">
        <f>E14</f>
        <v>征收腾退</v>
      </c>
      <c r="H14" s="246">
        <f>SUMIF(78:78,G14,79:79)-SUMIF(78:78,C14,79:79)+100</f>
        <v>100</v>
      </c>
      <c r="I14" s="509" t="str">
        <f>E14</f>
        <v>征收腾退</v>
      </c>
      <c r="J14" s="246">
        <f>SUMIF(78:78,I14,79:79)-SUMIF(78:78,C14,79:79)+100</f>
        <v>100</v>
      </c>
      <c r="K14" s="499"/>
      <c r="L14" s="1856"/>
      <c r="M14" s="1857"/>
      <c r="N14" s="1857"/>
      <c r="O14" s="1858"/>
      <c r="P14" s="4069"/>
      <c r="Q14" s="3787">
        <f t="shared" si="6"/>
        <v>111</v>
      </c>
      <c r="R14" s="1379" t="s">
        <v>5</v>
      </c>
      <c r="S14" s="1380">
        <f t="shared" si="0"/>
        <v>100</v>
      </c>
      <c r="T14" s="1379" t="s">
        <v>5</v>
      </c>
      <c r="U14" s="1380">
        <f t="shared" si="1"/>
        <v>100</v>
      </c>
      <c r="V14" s="1379" t="s">
        <v>5</v>
      </c>
      <c r="W14" s="1380">
        <f t="shared" si="2"/>
        <v>100</v>
      </c>
      <c r="X14" s="1381"/>
      <c r="Y14" s="4009"/>
      <c r="Z14" s="3786">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3787">
        <f t="shared" si="6"/>
        <v>111</v>
      </c>
      <c r="R15" s="1379" t="s">
        <v>5</v>
      </c>
      <c r="S15" s="1380">
        <f t="shared" si="0"/>
        <v>100</v>
      </c>
      <c r="T15" s="1379" t="s">
        <v>5</v>
      </c>
      <c r="U15" s="1380">
        <f t="shared" si="1"/>
        <v>100</v>
      </c>
      <c r="V15" s="1379" t="s">
        <v>5</v>
      </c>
      <c r="W15" s="1380">
        <f t="shared" si="2"/>
        <v>100</v>
      </c>
      <c r="X15" s="1381"/>
      <c r="Y15" s="4009"/>
      <c r="Z15" s="3786">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3787">
        <f t="shared" si="6"/>
        <v>111</v>
      </c>
      <c r="R16" s="1379" t="s">
        <v>5</v>
      </c>
      <c r="S16" s="1380">
        <f t="shared" si="0"/>
        <v>100</v>
      </c>
      <c r="T16" s="1379" t="s">
        <v>5</v>
      </c>
      <c r="U16" s="1380">
        <f t="shared" si="1"/>
        <v>100</v>
      </c>
      <c r="V16" s="1379" t="s">
        <v>5</v>
      </c>
      <c r="W16" s="1380">
        <f t="shared" si="2"/>
        <v>100</v>
      </c>
      <c r="X16" s="1381"/>
      <c r="Y16" s="4009"/>
      <c r="Z16" s="3786">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99</v>
      </c>
      <c r="G17" s="518"/>
      <c r="H17" s="517">
        <f>SUMIF(84:84,G18,85:85)-SUMIF(84:84,C18,85:85)+100</f>
        <v>99</v>
      </c>
      <c r="I17" s="520"/>
      <c r="J17" s="517">
        <f>SUMIF(84:84,I18,85:85)-SUMIF(84:84,C18,85:85)+100</f>
        <v>99</v>
      </c>
      <c r="K17" s="503">
        <v>1</v>
      </c>
      <c r="L17" s="1863"/>
      <c r="M17" s="1855"/>
      <c r="N17" s="1855"/>
      <c r="O17" s="1862"/>
      <c r="P17" s="4071" t="s">
        <v>489</v>
      </c>
      <c r="Q17" s="3789" t="str">
        <f t="shared" si="6"/>
        <v>产业集聚程度</v>
      </c>
      <c r="R17" s="1384" t="s">
        <v>5</v>
      </c>
      <c r="S17" s="1385">
        <f t="shared" si="0"/>
        <v>99</v>
      </c>
      <c r="T17" s="1384" t="s">
        <v>5</v>
      </c>
      <c r="U17" s="1385">
        <f t="shared" si="1"/>
        <v>99</v>
      </c>
      <c r="V17" s="1384" t="s">
        <v>5</v>
      </c>
      <c r="W17" s="1385">
        <f t="shared" si="2"/>
        <v>99</v>
      </c>
      <c r="X17" s="3788"/>
      <c r="Y17" s="4071" t="s">
        <v>489</v>
      </c>
      <c r="Z17" s="3790" t="str">
        <f t="shared" si="7"/>
        <v>产业集聚程度</v>
      </c>
      <c r="AA17" s="3791">
        <f t="shared" si="3"/>
        <v>1.0101010101010102</v>
      </c>
      <c r="AB17" s="3791">
        <f t="shared" si="4"/>
        <v>1.0101010101010102</v>
      </c>
      <c r="AC17" s="3791">
        <f t="shared" si="5"/>
        <v>1.0101010101010102</v>
      </c>
    </row>
    <row r="18" spans="1:29" ht="15">
      <c r="A18" s="500"/>
      <c r="B18" s="830"/>
      <c r="C18" s="544" t="s">
        <v>3276</v>
      </c>
      <c r="D18" s="523"/>
      <c r="E18" s="522" t="s">
        <v>3277</v>
      </c>
      <c r="F18" s="523"/>
      <c r="G18" s="522" t="s">
        <v>3277</v>
      </c>
      <c r="H18" s="527"/>
      <c r="I18" s="522" t="s">
        <v>3277</v>
      </c>
      <c r="J18" s="523"/>
      <c r="K18" s="499"/>
      <c r="L18" s="1863"/>
      <c r="M18" s="1855"/>
      <c r="N18" s="1855"/>
      <c r="O18" s="1862"/>
      <c r="P18" s="4072"/>
      <c r="Q18" s="3789"/>
      <c r="R18" s="1384"/>
      <c r="S18" s="1385"/>
      <c r="T18" s="1384"/>
      <c r="U18" s="1385"/>
      <c r="V18" s="1384"/>
      <c r="W18" s="1385"/>
      <c r="X18" s="3788"/>
      <c r="Y18" s="4072"/>
      <c r="Z18" s="3790"/>
      <c r="AA18" s="3791">
        <v>1</v>
      </c>
      <c r="AB18" s="3791">
        <v>1</v>
      </c>
      <c r="AC18" s="3791">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99</v>
      </c>
      <c r="I19" s="532"/>
      <c r="J19" s="527">
        <f>SUMIF(86:86,I20,87:87)-SUMIF(86:86,C20,87:87)+100</f>
        <v>100</v>
      </c>
      <c r="K19" s="503">
        <v>1</v>
      </c>
      <c r="L19" s="1863"/>
      <c r="M19" s="1855"/>
      <c r="N19" s="1855"/>
      <c r="O19" s="1862"/>
      <c r="P19" s="4072"/>
      <c r="Q19" s="3789" t="str">
        <f>B19</f>
        <v>交通便捷度</v>
      </c>
      <c r="R19" s="1384" t="s">
        <v>5</v>
      </c>
      <c r="S19" s="1385">
        <f>F19</f>
        <v>100</v>
      </c>
      <c r="T19" s="1384" t="s">
        <v>5</v>
      </c>
      <c r="U19" s="1385">
        <f>H19</f>
        <v>99</v>
      </c>
      <c r="V19" s="1384" t="s">
        <v>5</v>
      </c>
      <c r="W19" s="1385">
        <f>J19</f>
        <v>100</v>
      </c>
      <c r="X19" s="3788"/>
      <c r="Y19" s="4072"/>
      <c r="Z19" s="3790" t="str">
        <f>Q19</f>
        <v>交通便捷度</v>
      </c>
      <c r="AA19" s="3791">
        <f t="shared" si="3"/>
        <v>1</v>
      </c>
      <c r="AB19" s="3791">
        <f t="shared" si="4"/>
        <v>1.0101010101010102</v>
      </c>
      <c r="AC19" s="3791">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72"/>
      <c r="Q20" s="3789"/>
      <c r="R20" s="1384"/>
      <c r="S20" s="1385"/>
      <c r="T20" s="1384"/>
      <c r="U20" s="1385"/>
      <c r="V20" s="1384"/>
      <c r="W20" s="1385"/>
      <c r="X20" s="3788"/>
      <c r="Y20" s="4072"/>
      <c r="Z20" s="3790"/>
      <c r="AA20" s="3791">
        <v>1</v>
      </c>
      <c r="AB20" s="3791">
        <v>1</v>
      </c>
      <c r="AC20" s="3791">
        <v>1</v>
      </c>
    </row>
    <row r="21" spans="1:29" ht="57">
      <c r="A21" s="483"/>
      <c r="B21" s="832" t="s">
        <v>493</v>
      </c>
      <c r="C21" s="833" t="str">
        <f>估价对象房地状况!G17</f>
        <v>周边以产业用地为主，零星有其他用地，基本不影响本宗地。</v>
      </c>
      <c r="D21" s="527">
        <v>100</v>
      </c>
      <c r="E21" s="530"/>
      <c r="F21" s="531">
        <f>SUMIF(88:88,E22,89:89)-SUMIF(88:88,C22,89:89)+100</f>
        <v>99</v>
      </c>
      <c r="G21" s="532"/>
      <c r="H21" s="531">
        <f>SUMIF(88:88,G22,89:89)-SUMIF(88:88,C22,89:89)+100</f>
        <v>99</v>
      </c>
      <c r="I21" s="532"/>
      <c r="J21" s="531">
        <f>SUMIF(88:88,I22,89:89)-SUMIF(88:88,C22,89:89)+100</f>
        <v>99</v>
      </c>
      <c r="K21" s="967">
        <v>1</v>
      </c>
      <c r="L21" s="1863"/>
      <c r="M21" s="1855"/>
      <c r="N21" s="1855"/>
      <c r="O21" s="1862"/>
      <c r="P21" s="4072"/>
      <c r="Q21" s="3789" t="str">
        <f t="shared" ref="Q21:Q35" si="8">B21</f>
        <v>区域土地利用方向</v>
      </c>
      <c r="R21" s="1384" t="s">
        <v>5</v>
      </c>
      <c r="S21" s="1385">
        <f>F21</f>
        <v>99</v>
      </c>
      <c r="T21" s="1384" t="s">
        <v>5</v>
      </c>
      <c r="U21" s="1385">
        <f>H21</f>
        <v>99</v>
      </c>
      <c r="V21" s="1384" t="s">
        <v>5</v>
      </c>
      <c r="W21" s="1385">
        <f>J21</f>
        <v>99</v>
      </c>
      <c r="X21" s="3788"/>
      <c r="Y21" s="4072"/>
      <c r="Z21" s="3790" t="str">
        <f>Q21</f>
        <v>区域土地利用方向</v>
      </c>
      <c r="AA21" s="3791">
        <f t="shared" si="3"/>
        <v>1.0101010101010102</v>
      </c>
      <c r="AB21" s="3791">
        <f t="shared" si="4"/>
        <v>1.0101010101010102</v>
      </c>
      <c r="AC21" s="3791">
        <f t="shared" si="5"/>
        <v>1.0101010101010102</v>
      </c>
    </row>
    <row r="22" spans="1:29" ht="15">
      <c r="A22" s="483"/>
      <c r="B22" s="563"/>
      <c r="C22" s="544" t="s">
        <v>3276</v>
      </c>
      <c r="D22" s="523"/>
      <c r="E22" s="524" t="s">
        <v>3277</v>
      </c>
      <c r="F22" s="525"/>
      <c r="G22" s="526" t="s">
        <v>3277</v>
      </c>
      <c r="H22" s="525"/>
      <c r="I22" s="526" t="s">
        <v>3277</v>
      </c>
      <c r="J22" s="525"/>
      <c r="K22" s="1206"/>
      <c r="L22" s="1863"/>
      <c r="M22" s="1855"/>
      <c r="N22" s="1855"/>
      <c r="O22" s="1862"/>
      <c r="P22" s="4072"/>
      <c r="Q22" s="3789"/>
      <c r="R22" s="1384"/>
      <c r="S22" s="1385"/>
      <c r="T22" s="1384"/>
      <c r="U22" s="1385"/>
      <c r="V22" s="1384"/>
      <c r="W22" s="1385"/>
      <c r="X22" s="3788"/>
      <c r="Y22" s="4072"/>
      <c r="Z22" s="3790"/>
      <c r="AA22" s="3791"/>
      <c r="AB22" s="3791"/>
      <c r="AC22" s="3791"/>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3789" t="str">
        <f t="shared" si="8"/>
        <v>环境状况</v>
      </c>
      <c r="R23" s="1384" t="s">
        <v>5</v>
      </c>
      <c r="S23" s="1385">
        <f>F23</f>
        <v>100</v>
      </c>
      <c r="T23" s="1384" t="s">
        <v>5</v>
      </c>
      <c r="U23" s="1385">
        <f>H23</f>
        <v>100</v>
      </c>
      <c r="V23" s="1384" t="s">
        <v>5</v>
      </c>
      <c r="W23" s="1385">
        <f>J23</f>
        <v>100</v>
      </c>
      <c r="X23" s="3788"/>
      <c r="Y23" s="4072"/>
      <c r="Z23" s="3790" t="str">
        <f>Q23</f>
        <v>环境状况</v>
      </c>
      <c r="AA23" s="3791">
        <f t="shared" si="3"/>
        <v>1</v>
      </c>
      <c r="AB23" s="3791">
        <f t="shared" si="4"/>
        <v>1</v>
      </c>
      <c r="AC23" s="3791">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3789"/>
      <c r="R24" s="1384"/>
      <c r="S24" s="1385"/>
      <c r="T24" s="1384"/>
      <c r="U24" s="1385"/>
      <c r="V24" s="1384"/>
      <c r="W24" s="1385"/>
      <c r="X24" s="3788"/>
      <c r="Y24" s="4072"/>
      <c r="Z24" s="3790"/>
      <c r="AA24" s="3791">
        <v>1</v>
      </c>
      <c r="AB24" s="3791">
        <v>1</v>
      </c>
      <c r="AC24" s="3791">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3787" t="str">
        <f t="shared" si="8"/>
        <v>公共配套设施</v>
      </c>
      <c r="R25" s="1379" t="s">
        <v>5</v>
      </c>
      <c r="S25" s="1380">
        <f>F25</f>
        <v>100</v>
      </c>
      <c r="T25" s="1379" t="s">
        <v>5</v>
      </c>
      <c r="U25" s="1380">
        <f>H25</f>
        <v>100</v>
      </c>
      <c r="V25" s="1379" t="s">
        <v>5</v>
      </c>
      <c r="W25" s="1380">
        <f>J25</f>
        <v>100</v>
      </c>
      <c r="X25" s="1381"/>
      <c r="Y25" s="4072"/>
      <c r="Z25" s="3786" t="str">
        <f>Q25</f>
        <v>公共配套设施</v>
      </c>
      <c r="AA25" s="3791">
        <f>D25/F25</f>
        <v>1</v>
      </c>
      <c r="AB25" s="3791">
        <f>D25/H25</f>
        <v>1</v>
      </c>
      <c r="AC25" s="3791">
        <f>D25/J25</f>
        <v>1</v>
      </c>
    </row>
    <row r="26" spans="1:29" s="1116" customFormat="1" ht="15">
      <c r="A26" s="545"/>
      <c r="B26" s="563"/>
      <c r="C26" s="2198"/>
      <c r="D26" s="523"/>
      <c r="E26" s="522"/>
      <c r="F26" s="523"/>
      <c r="G26" s="522"/>
      <c r="H26" s="523"/>
      <c r="I26" s="544"/>
      <c r="J26" s="523"/>
      <c r="K26" s="499"/>
      <c r="L26" s="1856"/>
      <c r="M26" s="1857"/>
      <c r="N26" s="1857"/>
      <c r="O26" s="1858"/>
      <c r="P26" s="4072"/>
      <c r="Q26" s="3787"/>
      <c r="R26" s="1379"/>
      <c r="S26" s="1380"/>
      <c r="T26" s="1379"/>
      <c r="U26" s="1380"/>
      <c r="V26" s="1379"/>
      <c r="W26" s="1380"/>
      <c r="X26" s="1381"/>
      <c r="Y26" s="4072"/>
      <c r="Z26" s="3786"/>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102</v>
      </c>
      <c r="G27" s="530"/>
      <c r="H27" s="527">
        <f>SUMIF(94:94,G28,95:95)-SUMIF(94:94,C28,95:95)+100</f>
        <v>102</v>
      </c>
      <c r="I27" s="532"/>
      <c r="J27" s="527">
        <f>SUMIF(94:94,I28,95:95)-SUMIF(94:94,C28,95:95)+100</f>
        <v>102</v>
      </c>
      <c r="K27" s="503">
        <v>1</v>
      </c>
      <c r="L27" s="1856"/>
      <c r="M27" s="1857"/>
      <c r="N27" s="1857"/>
      <c r="O27" s="1858"/>
      <c r="P27" s="4072"/>
      <c r="Q27" s="3787" t="str">
        <f>B27</f>
        <v>基础设施水平</v>
      </c>
      <c r="R27" s="1379" t="s">
        <v>5</v>
      </c>
      <c r="S27" s="1380">
        <f>F27</f>
        <v>102</v>
      </c>
      <c r="T27" s="1379" t="s">
        <v>5</v>
      </c>
      <c r="U27" s="1380">
        <f>H27</f>
        <v>102</v>
      </c>
      <c r="V27" s="1379" t="s">
        <v>5</v>
      </c>
      <c r="W27" s="1380">
        <f>J27</f>
        <v>102</v>
      </c>
      <c r="X27" s="1381"/>
      <c r="Y27" s="4072"/>
      <c r="Z27" s="3786" t="str">
        <f>Q27</f>
        <v>基础设施水平</v>
      </c>
      <c r="AA27" s="3791">
        <f>D27/F27</f>
        <v>0.98039215686274506</v>
      </c>
      <c r="AB27" s="3791">
        <f>D27/H27</f>
        <v>0.98039215686274506</v>
      </c>
      <c r="AC27" s="3791">
        <f>D27/J27</f>
        <v>0.98039215686274506</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72"/>
      <c r="Q28" s="3787"/>
      <c r="R28" s="1379"/>
      <c r="S28" s="1380"/>
      <c r="T28" s="1379"/>
      <c r="U28" s="1380"/>
      <c r="V28" s="1379"/>
      <c r="W28" s="1380"/>
      <c r="X28" s="1381"/>
      <c r="Y28" s="4072"/>
      <c r="Z28" s="3786"/>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3789" t="str">
        <f t="shared" si="8"/>
        <v>临街状况</v>
      </c>
      <c r="R29" s="1384" t="s">
        <v>5</v>
      </c>
      <c r="S29" s="1385">
        <f t="shared" ref="S29:S42" si="9">F29</f>
        <v>100</v>
      </c>
      <c r="T29" s="1384" t="s">
        <v>5</v>
      </c>
      <c r="U29" s="1385">
        <f t="shared" ref="U29:U42" si="10">H29</f>
        <v>100</v>
      </c>
      <c r="V29" s="1384" t="s">
        <v>5</v>
      </c>
      <c r="W29" s="1385">
        <f t="shared" ref="W29:W42" si="11">J29</f>
        <v>100</v>
      </c>
      <c r="X29" s="3788"/>
      <c r="Y29" s="4072"/>
      <c r="Z29" s="3790" t="str">
        <f t="shared" ref="Z29:Z42" si="12">Q29</f>
        <v>临街状况</v>
      </c>
      <c r="AA29" s="3791">
        <f t="shared" si="3"/>
        <v>1</v>
      </c>
      <c r="AB29" s="3791">
        <f t="shared" si="4"/>
        <v>1</v>
      </c>
      <c r="AC29" s="3791">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3789" t="str">
        <f t="shared" si="8"/>
        <v>毗邻道路的类型与等级</v>
      </c>
      <c r="R30" s="1384" t="s">
        <v>5</v>
      </c>
      <c r="S30" s="1385">
        <f t="shared" si="9"/>
        <v>100</v>
      </c>
      <c r="T30" s="1384" t="s">
        <v>5</v>
      </c>
      <c r="U30" s="1385">
        <f t="shared" si="10"/>
        <v>100</v>
      </c>
      <c r="V30" s="1384" t="s">
        <v>5</v>
      </c>
      <c r="W30" s="1385">
        <f t="shared" si="11"/>
        <v>100</v>
      </c>
      <c r="X30" s="3788"/>
      <c r="Y30" s="4072"/>
      <c r="Z30" s="3790" t="str">
        <f t="shared" si="12"/>
        <v>毗邻道路的类型与等级</v>
      </c>
      <c r="AA30" s="3791">
        <f t="shared" si="3"/>
        <v>1</v>
      </c>
      <c r="AB30" s="3791">
        <f t="shared" si="4"/>
        <v>1</v>
      </c>
      <c r="AC30" s="3791">
        <f t="shared" si="5"/>
        <v>1</v>
      </c>
    </row>
    <row r="31" spans="1:29" ht="15">
      <c r="A31" s="500"/>
      <c r="B31" s="563"/>
      <c r="C31" s="544"/>
      <c r="D31" s="523"/>
      <c r="E31" s="544"/>
      <c r="F31" s="523"/>
      <c r="G31" s="544"/>
      <c r="H31" s="523"/>
      <c r="I31" s="544"/>
      <c r="J31" s="523"/>
      <c r="K31" s="549"/>
      <c r="L31" s="1863"/>
      <c r="M31" s="1855"/>
      <c r="N31" s="1855"/>
      <c r="O31" s="1862"/>
      <c r="P31" s="4072"/>
      <c r="Q31" s="3789"/>
      <c r="R31" s="1384"/>
      <c r="S31" s="1385"/>
      <c r="T31" s="1384"/>
      <c r="U31" s="1385"/>
      <c r="V31" s="1384"/>
      <c r="W31" s="1385"/>
      <c r="X31" s="3788"/>
      <c r="Y31" s="4072"/>
      <c r="Z31" s="3790"/>
      <c r="AA31" s="3791">
        <v>1</v>
      </c>
      <c r="AB31" s="3791">
        <v>1</v>
      </c>
      <c r="AC31" s="3791">
        <v>1</v>
      </c>
    </row>
    <row r="32" spans="1:29" ht="15">
      <c r="A32" s="500"/>
      <c r="B32" s="495" t="s">
        <v>498</v>
      </c>
      <c r="C32" s="2202" t="str">
        <f>估价对象房地状况!G23</f>
        <v>八级</v>
      </c>
      <c r="D32" s="508">
        <v>100</v>
      </c>
      <c r="E32" s="548" t="s">
        <v>1153</v>
      </c>
      <c r="F32" s="508">
        <f>SUMIF(100:100,E32,101:101)-SUMIF(100:100,C32,101:101)+100</f>
        <v>108</v>
      </c>
      <c r="G32" s="548" t="s">
        <v>1152</v>
      </c>
      <c r="H32" s="508">
        <f>SUMIF(100:100,G32,101:101)-SUMIF(100:100,C32,101:101)+100</f>
        <v>112</v>
      </c>
      <c r="I32" s="548" t="s">
        <v>1153</v>
      </c>
      <c r="J32" s="508">
        <f>SUMIF(100:100,I32,101:101)-SUMIF(100:100,C32,101:101)+100</f>
        <v>108</v>
      </c>
      <c r="K32" s="552">
        <v>4</v>
      </c>
      <c r="L32" s="1863"/>
      <c r="M32" s="1855"/>
      <c r="N32" s="1855"/>
      <c r="O32" s="1862"/>
      <c r="P32" s="4072"/>
      <c r="Q32" s="3789" t="str">
        <f t="shared" si="8"/>
        <v>土地级别</v>
      </c>
      <c r="R32" s="1384" t="s">
        <v>5</v>
      </c>
      <c r="S32" s="1385">
        <f t="shared" si="9"/>
        <v>108</v>
      </c>
      <c r="T32" s="1384" t="s">
        <v>5</v>
      </c>
      <c r="U32" s="1385">
        <f t="shared" si="10"/>
        <v>112</v>
      </c>
      <c r="V32" s="1384" t="s">
        <v>5</v>
      </c>
      <c r="W32" s="1385">
        <f t="shared" si="11"/>
        <v>108</v>
      </c>
      <c r="X32" s="3788"/>
      <c r="Y32" s="4072"/>
      <c r="Z32" s="3790" t="str">
        <f t="shared" si="12"/>
        <v>土地级别</v>
      </c>
      <c r="AA32" s="3791">
        <f t="shared" si="3"/>
        <v>0.92592592592592593</v>
      </c>
      <c r="AB32" s="3791">
        <f t="shared" si="4"/>
        <v>0.8928571428571429</v>
      </c>
      <c r="AC32" s="3791">
        <f t="shared" si="5"/>
        <v>0.92592592592592593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3789">
        <f t="shared" si="8"/>
        <v>111</v>
      </c>
      <c r="R33" s="1384" t="s">
        <v>5</v>
      </c>
      <c r="S33" s="1385">
        <f t="shared" si="9"/>
        <v>100</v>
      </c>
      <c r="T33" s="1384" t="s">
        <v>5</v>
      </c>
      <c r="U33" s="1385">
        <f t="shared" si="10"/>
        <v>100</v>
      </c>
      <c r="V33" s="1384" t="s">
        <v>5</v>
      </c>
      <c r="W33" s="1385">
        <f t="shared" si="11"/>
        <v>100</v>
      </c>
      <c r="X33" s="3788"/>
      <c r="Y33" s="4072"/>
      <c r="Z33" s="3790">
        <f t="shared" si="12"/>
        <v>111</v>
      </c>
      <c r="AA33" s="3791">
        <f t="shared" si="3"/>
        <v>1</v>
      </c>
      <c r="AB33" s="3791">
        <f t="shared" si="4"/>
        <v>1</v>
      </c>
      <c r="AC33" s="3791">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3789">
        <f t="shared" si="8"/>
        <v>111</v>
      </c>
      <c r="R34" s="1384" t="s">
        <v>5</v>
      </c>
      <c r="S34" s="1385">
        <f t="shared" si="9"/>
        <v>100</v>
      </c>
      <c r="T34" s="1384" t="s">
        <v>5</v>
      </c>
      <c r="U34" s="1385">
        <f t="shared" si="10"/>
        <v>100</v>
      </c>
      <c r="V34" s="1384" t="s">
        <v>5</v>
      </c>
      <c r="W34" s="1385">
        <f t="shared" si="11"/>
        <v>100</v>
      </c>
      <c r="X34" s="3788"/>
      <c r="Y34" s="4074" t="s">
        <v>499</v>
      </c>
      <c r="Z34" s="3790">
        <f t="shared" si="12"/>
        <v>111</v>
      </c>
      <c r="AA34" s="3791">
        <f t="shared" si="3"/>
        <v>1</v>
      </c>
      <c r="AB34" s="3791">
        <f t="shared" si="4"/>
        <v>1</v>
      </c>
      <c r="AC34" s="3791">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3789">
        <f t="shared" si="8"/>
        <v>111</v>
      </c>
      <c r="R35" s="1388" t="s">
        <v>5</v>
      </c>
      <c r="S35" s="1389">
        <f t="shared" si="9"/>
        <v>100</v>
      </c>
      <c r="T35" s="1388" t="s">
        <v>5</v>
      </c>
      <c r="U35" s="1389">
        <f t="shared" si="10"/>
        <v>100</v>
      </c>
      <c r="V35" s="1388" t="s">
        <v>5</v>
      </c>
      <c r="W35" s="1389">
        <f t="shared" si="11"/>
        <v>100</v>
      </c>
      <c r="X35" s="1390"/>
      <c r="Y35" s="4074"/>
      <c r="Z35" s="1391">
        <f t="shared" si="12"/>
        <v>111</v>
      </c>
      <c r="AA35" s="3791">
        <f t="shared" si="3"/>
        <v>1</v>
      </c>
      <c r="AB35" s="3791">
        <f t="shared" si="4"/>
        <v>1</v>
      </c>
      <c r="AC35" s="3791">
        <f t="shared" si="5"/>
        <v>1</v>
      </c>
    </row>
    <row r="36" spans="1:29" ht="15">
      <c r="A36" s="2385" t="s">
        <v>2037</v>
      </c>
      <c r="B36" s="563" t="s">
        <v>501</v>
      </c>
      <c r="C36" s="564">
        <f>'数据-基础表'!A3</f>
        <v>22121.8</v>
      </c>
      <c r="D36" s="565">
        <v>100</v>
      </c>
      <c r="E36" s="564">
        <f>'征收腾退案例（何金峰）'!H2</f>
        <v>1280.1199999999999</v>
      </c>
      <c r="F36" s="565">
        <f>LOOKUP(E36,109:109,110:110)-LOOKUP(C36,109:109,110:110)+100</f>
        <v>104</v>
      </c>
      <c r="G36" s="564">
        <f>'征收腾退案例（何金峰）'!H6</f>
        <v>2786.4</v>
      </c>
      <c r="H36" s="565">
        <f>LOOKUP(G36,109:109,110:110)-LOOKUP(C36,109:109,110:110)+100</f>
        <v>104</v>
      </c>
      <c r="I36" s="566">
        <f>'征收腾退案例（何金峰）'!H13</f>
        <v>526.52</v>
      </c>
      <c r="J36" s="565">
        <f>LOOKUP(I36,109:109,110:110)-LOOKUP(C36,109:109,110:110)+100</f>
        <v>104</v>
      </c>
      <c r="K36" s="549"/>
      <c r="L36" s="1863"/>
      <c r="M36" s="1855"/>
      <c r="N36" s="1855"/>
      <c r="O36" s="1862"/>
      <c r="P36" s="4074"/>
      <c r="Q36" s="3789" t="str">
        <f>B36</f>
        <v>宗地面积</v>
      </c>
      <c r="R36" s="1384" t="s">
        <v>5</v>
      </c>
      <c r="S36" s="1385">
        <f t="shared" si="9"/>
        <v>104</v>
      </c>
      <c r="T36" s="1384" t="s">
        <v>5</v>
      </c>
      <c r="U36" s="1385">
        <f t="shared" si="10"/>
        <v>104</v>
      </c>
      <c r="V36" s="1384" t="s">
        <v>5</v>
      </c>
      <c r="W36" s="1385">
        <f t="shared" si="11"/>
        <v>104</v>
      </c>
      <c r="X36" s="3788"/>
      <c r="Y36" s="4074"/>
      <c r="Z36" s="3790" t="str">
        <f t="shared" si="12"/>
        <v>宗地面积</v>
      </c>
      <c r="AA36" s="3791">
        <f t="shared" si="3"/>
        <v>0.96153846153846156</v>
      </c>
      <c r="AB36" s="3791">
        <f t="shared" si="4"/>
        <v>0.96153846153846156</v>
      </c>
      <c r="AC36" s="3791">
        <f t="shared" si="5"/>
        <v>0.96153846153846156</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3789" t="str">
        <f t="shared" ref="Q37:Q42" si="13">B37</f>
        <v>宗地形状</v>
      </c>
      <c r="R37" s="1384" t="s">
        <v>5</v>
      </c>
      <c r="S37" s="1385">
        <f t="shared" si="9"/>
        <v>100</v>
      </c>
      <c r="T37" s="1384" t="s">
        <v>5</v>
      </c>
      <c r="U37" s="1385">
        <f t="shared" si="10"/>
        <v>100</v>
      </c>
      <c r="V37" s="1384" t="s">
        <v>5</v>
      </c>
      <c r="W37" s="1385">
        <f t="shared" si="11"/>
        <v>100</v>
      </c>
      <c r="X37" s="3788"/>
      <c r="Y37" s="4074"/>
      <c r="Z37" s="3790" t="str">
        <f t="shared" si="12"/>
        <v>宗地形状</v>
      </c>
      <c r="AA37" s="3791">
        <f t="shared" si="3"/>
        <v>1</v>
      </c>
      <c r="AB37" s="3791">
        <f t="shared" si="4"/>
        <v>1</v>
      </c>
      <c r="AC37" s="3791">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74"/>
      <c r="Q38" s="3789" t="str">
        <f t="shared" si="13"/>
        <v>宗地开发程度</v>
      </c>
      <c r="R38" s="1379" t="s">
        <v>5</v>
      </c>
      <c r="S38" s="1380">
        <f t="shared" si="9"/>
        <v>100</v>
      </c>
      <c r="T38" s="1379" t="s">
        <v>5</v>
      </c>
      <c r="U38" s="1380">
        <f t="shared" si="10"/>
        <v>100</v>
      </c>
      <c r="V38" s="1379" t="s">
        <v>5</v>
      </c>
      <c r="W38" s="1380">
        <f t="shared" si="11"/>
        <v>100</v>
      </c>
      <c r="X38" s="1381"/>
      <c r="Y38" s="4074"/>
      <c r="Z38" s="3786"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499</v>
      </c>
      <c r="Q39" s="3789" t="str">
        <f t="shared" si="13"/>
        <v>工程地质条件</v>
      </c>
      <c r="R39" s="1384" t="s">
        <v>5</v>
      </c>
      <c r="S39" s="1385">
        <f t="shared" si="9"/>
        <v>100</v>
      </c>
      <c r="T39" s="1384" t="s">
        <v>5</v>
      </c>
      <c r="U39" s="1385">
        <f t="shared" si="10"/>
        <v>100</v>
      </c>
      <c r="V39" s="1384" t="s">
        <v>5</v>
      </c>
      <c r="W39" s="1385">
        <f t="shared" si="11"/>
        <v>100</v>
      </c>
      <c r="X39" s="3788"/>
      <c r="Y39" s="4074" t="s">
        <v>499</v>
      </c>
      <c r="Z39" s="3790" t="str">
        <f t="shared" si="12"/>
        <v>工程地质条件</v>
      </c>
      <c r="AA39" s="3791">
        <f t="shared" si="3"/>
        <v>1</v>
      </c>
      <c r="AB39" s="3791">
        <f t="shared" si="4"/>
        <v>1</v>
      </c>
      <c r="AC39" s="3791">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74"/>
      <c r="Q40" s="3789">
        <f t="shared" si="13"/>
        <v>111</v>
      </c>
      <c r="R40" s="1384" t="s">
        <v>5</v>
      </c>
      <c r="S40" s="1385">
        <f t="shared" si="9"/>
        <v>100</v>
      </c>
      <c r="T40" s="1384" t="s">
        <v>5</v>
      </c>
      <c r="U40" s="1385">
        <f t="shared" si="10"/>
        <v>100</v>
      </c>
      <c r="V40" s="1384" t="s">
        <v>5</v>
      </c>
      <c r="W40" s="1385">
        <f t="shared" si="11"/>
        <v>100</v>
      </c>
      <c r="X40" s="3788"/>
      <c r="Y40" s="4074"/>
      <c r="Z40" s="3790">
        <f t="shared" si="12"/>
        <v>111</v>
      </c>
      <c r="AA40" s="3791">
        <f t="shared" si="3"/>
        <v>1</v>
      </c>
      <c r="AB40" s="3791">
        <f t="shared" si="4"/>
        <v>1</v>
      </c>
      <c r="AC40" s="3791">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3789">
        <f t="shared" si="13"/>
        <v>111</v>
      </c>
      <c r="R41" s="1384" t="s">
        <v>5</v>
      </c>
      <c r="S41" s="1385">
        <f t="shared" si="9"/>
        <v>100</v>
      </c>
      <c r="T41" s="1384" t="s">
        <v>5</v>
      </c>
      <c r="U41" s="1385">
        <f t="shared" si="10"/>
        <v>100</v>
      </c>
      <c r="V41" s="1384" t="s">
        <v>5</v>
      </c>
      <c r="W41" s="1385">
        <f t="shared" si="11"/>
        <v>100</v>
      </c>
      <c r="X41" s="3788"/>
      <c r="Y41" s="4074"/>
      <c r="Z41" s="3790">
        <f t="shared" si="12"/>
        <v>111</v>
      </c>
      <c r="AA41" s="3791">
        <f t="shared" si="3"/>
        <v>1</v>
      </c>
      <c r="AB41" s="3791">
        <f t="shared" si="4"/>
        <v>1</v>
      </c>
      <c r="AC41" s="3791">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3789">
        <f t="shared" si="13"/>
        <v>111</v>
      </c>
      <c r="R42" s="1388" t="s">
        <v>5</v>
      </c>
      <c r="S42" s="1389">
        <f t="shared" si="9"/>
        <v>100</v>
      </c>
      <c r="T42" s="1388" t="s">
        <v>5</v>
      </c>
      <c r="U42" s="1389">
        <f t="shared" si="10"/>
        <v>100</v>
      </c>
      <c r="V42" s="1388" t="s">
        <v>5</v>
      </c>
      <c r="W42" s="1389">
        <f t="shared" si="11"/>
        <v>100</v>
      </c>
      <c r="X42" s="1390"/>
      <c r="Y42" s="4074"/>
      <c r="Z42" s="1391">
        <f t="shared" si="12"/>
        <v>111</v>
      </c>
      <c r="AA42" s="3791">
        <f t="shared" si="3"/>
        <v>1</v>
      </c>
      <c r="AB42" s="3791">
        <f t="shared" si="4"/>
        <v>1</v>
      </c>
      <c r="AC42" s="3791">
        <f t="shared" si="5"/>
        <v>1</v>
      </c>
    </row>
    <row r="43" spans="1:29" ht="15">
      <c r="A43" s="575" t="s">
        <v>505</v>
      </c>
      <c r="B43" s="576" t="s">
        <v>2195</v>
      </c>
      <c r="C43" s="577" t="s">
        <v>0</v>
      </c>
      <c r="D43" s="578"/>
      <c r="E43" s="579">
        <f>'征收腾退案例（何金峰）'!K2</f>
        <v>5102</v>
      </c>
      <c r="F43" s="580"/>
      <c r="G43" s="581">
        <f>'征收腾退案例（何金峰）'!K6</f>
        <v>4482</v>
      </c>
      <c r="H43" s="582"/>
      <c r="I43" s="579">
        <f>'征收腾退案例（何金峰）'!K13</f>
        <v>4571</v>
      </c>
      <c r="J43" s="582"/>
      <c r="K43" s="1199"/>
      <c r="L43" s="1865"/>
      <c r="M43" s="1855"/>
      <c r="N43" s="1855"/>
      <c r="O43" s="1866"/>
      <c r="P43" s="4069" t="str">
        <f>A43</f>
        <v>成交单价</v>
      </c>
      <c r="Q43" s="4069"/>
      <c r="R43" s="4085">
        <f>E43</f>
        <v>5102</v>
      </c>
      <c r="S43" s="4085"/>
      <c r="T43" s="4085">
        <f>G43</f>
        <v>4482</v>
      </c>
      <c r="U43" s="4085"/>
      <c r="V43" s="4085">
        <f>I43</f>
        <v>4571</v>
      </c>
      <c r="W43" s="4085"/>
      <c r="X43" s="1373"/>
      <c r="Y43" s="1392"/>
      <c r="Z43" s="1373"/>
      <c r="AA43" s="1373"/>
      <c r="AB43" s="1373"/>
      <c r="AC43" s="1373"/>
    </row>
    <row r="44" spans="1:29" ht="15.75" thickBot="1">
      <c r="A44" s="583" t="s">
        <v>1975</v>
      </c>
      <c r="B44" s="584"/>
      <c r="C44" s="585">
        <f>R45</f>
        <v>4725</v>
      </c>
      <c r="D44" s="2755" t="s">
        <v>2259</v>
      </c>
      <c r="E44" s="585">
        <f>R44</f>
        <v>4999</v>
      </c>
      <c r="F44" s="2756"/>
      <c r="G44" s="586">
        <f>T44</f>
        <v>4482</v>
      </c>
      <c r="H44" s="2756"/>
      <c r="I44" s="585">
        <f>V44</f>
        <v>4693</v>
      </c>
      <c r="J44" s="2756"/>
      <c r="K44" s="2757">
        <f>F44+H44+J44</f>
        <v>0</v>
      </c>
      <c r="L44" s="1865"/>
      <c r="M44" s="1855"/>
      <c r="N44" s="1855"/>
      <c r="O44" s="1866"/>
      <c r="P44" s="4069" t="str">
        <f>A44</f>
        <v>比较价格（元/平方米）</v>
      </c>
      <c r="Q44" s="4069"/>
      <c r="R44" s="4093">
        <f>ROUND(PRODUCT(R43,AA9:AA42),0)</f>
        <v>4999</v>
      </c>
      <c r="S44" s="4093"/>
      <c r="T44" s="4093">
        <f>ROUND(PRODUCT(T43,AB9:AB42),0)</f>
        <v>4482</v>
      </c>
      <c r="U44" s="4093"/>
      <c r="V44" s="4093">
        <f>ROUND(PRODUCT(V43,AC9:AC42),0)</f>
        <v>4693</v>
      </c>
      <c r="W44" s="4093"/>
      <c r="X44" s="1373"/>
      <c r="Y44" s="1373"/>
      <c r="Z44" s="1373"/>
      <c r="AA44" s="1373"/>
      <c r="AB44" s="1373"/>
      <c r="AC44" s="1373"/>
    </row>
    <row r="45" spans="1:29" ht="15.75" thickBot="1">
      <c r="A45" s="587" t="s">
        <v>2196</v>
      </c>
      <c r="B45" s="588"/>
      <c r="C45" s="589">
        <f>R45</f>
        <v>4725</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4725</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2.060412082416474E-2</v>
      </c>
      <c r="F48" s="593" t="str">
        <f>IF(OR(E48&gt;=0.3,E48&lt;=-0.3),"超过30%","")</f>
        <v/>
      </c>
      <c r="G48" s="592">
        <f>IF(G43&lt;G44,G44/G43-1,G43/G44-1)</f>
        <v>0</v>
      </c>
      <c r="H48" s="593" t="str">
        <f>IF(OR(G48&gt;=0.3,G48&lt;=-0.3),"超过30%","")</f>
        <v/>
      </c>
      <c r="I48" s="592">
        <f>IF(I43&lt;I44,I44/I43-1,I43/I44-1)</f>
        <v>2.6690002187705009E-2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0.11535029004908526</v>
      </c>
      <c r="F49" s="593" t="str">
        <f>IF(OR(E49&gt;=0.2,E49&lt;=-0.2),"超过20%","")</f>
        <v/>
      </c>
      <c r="G49" s="592">
        <f>IF(G44&lt;I44,I44/G44-1,G44/I44-1)</f>
        <v>4.7077197679607385E-2</v>
      </c>
      <c r="H49" s="593" t="str">
        <f>IF(OR(G49&gt;=0.2,G49&lt;=-0.2),"超过20%","")</f>
        <v/>
      </c>
      <c r="I49" s="592">
        <f>IF(I44&lt;E44,E44/I44-1,I44/E44-1)</f>
        <v>6.5203494566375531E-2</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0.13833110218652389</v>
      </c>
      <c r="F50" s="593" t="str">
        <f>IF(OR(E50&gt;=0.3,E50&lt;=-0.3),"超过30%","")</f>
        <v/>
      </c>
      <c r="G50" s="592">
        <f>IF(G43&lt;I43,I43/G43-1,G43/I43-1)</f>
        <v>1.9857206604194655E-2</v>
      </c>
      <c r="H50" s="593" t="str">
        <f>IF(OR(G50&gt;=0.3,G50&lt;=-0.3),"超过30%","")</f>
        <v/>
      </c>
      <c r="I50" s="592">
        <f>IF(I43&lt;E43,E43/I43-1,I43/E43-1)</f>
        <v>0.11616714066943779</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4725</v>
      </c>
      <c r="C53" s="601">
        <v>1</v>
      </c>
      <c r="D53" s="1945">
        <v>1</v>
      </c>
      <c r="E53" s="601">
        <f>'数据-汇总表'!E8+'数据-汇总表'!E9</f>
        <v>22121.8</v>
      </c>
      <c r="F53" s="1704">
        <f t="shared" ref="F53:F61" si="14">ROUND(B53*E53/10000,0)</f>
        <v>10453</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10453</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ref="O64" si="18">EDATE(N64,-3)</f>
        <v>44075</v>
      </c>
      <c r="P64" s="1868">
        <f t="shared" ref="P64" si="19">EDATE(O64,-3)</f>
        <v>43983</v>
      </c>
      <c r="Q64" s="1868">
        <f t="shared" ref="Q64" si="20">EDATE(P64,-3)</f>
        <v>43891</v>
      </c>
      <c r="R64" s="1868">
        <f t="shared" ref="R64" si="21">EDATE(Q64,-3)</f>
        <v>43800</v>
      </c>
      <c r="S64" s="1868">
        <f t="shared" ref="S64" si="22">EDATE(R64,-3)</f>
        <v>43709</v>
      </c>
      <c r="T64" s="1868">
        <f t="shared" ref="T64" si="23">EDATE(S64,-3)</f>
        <v>43617</v>
      </c>
      <c r="U64" s="1868">
        <f t="shared" ref="U64" si="24">EDATE(T64,-3)</f>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25">YEAR(D64)&amp;"-"&amp;ROUNDUP(MONTH(D64)/3,0)</f>
        <v>2023-2</v>
      </c>
      <c r="E66" s="2279" t="str">
        <f t="shared" si="25"/>
        <v>2023-1</v>
      </c>
      <c r="F66" s="2279" t="str">
        <f t="shared" si="25"/>
        <v>2022-4</v>
      </c>
      <c r="G66" s="2279" t="str">
        <f t="shared" si="25"/>
        <v>2022-3</v>
      </c>
      <c r="H66" s="2279" t="str">
        <f t="shared" si="25"/>
        <v>2022-2</v>
      </c>
      <c r="I66" s="2279" t="str">
        <f t="shared" si="25"/>
        <v>2022-1</v>
      </c>
      <c r="J66" s="2279" t="str">
        <f t="shared" si="25"/>
        <v>2021-4</v>
      </c>
      <c r="K66" s="2279" t="str">
        <f t="shared" si="25"/>
        <v>2021-3</v>
      </c>
      <c r="L66" s="2279" t="str">
        <f t="shared" si="25"/>
        <v>2021-2</v>
      </c>
      <c r="M66" s="2279" t="str">
        <f t="shared" si="25"/>
        <v>2021-1</v>
      </c>
      <c r="N66" s="2279" t="str">
        <f t="shared" si="25"/>
        <v>2020-4</v>
      </c>
      <c r="O66" s="3811" t="str">
        <f t="shared" si="25"/>
        <v>2020-3</v>
      </c>
      <c r="P66" s="3811" t="str">
        <f t="shared" si="25"/>
        <v>2020-2</v>
      </c>
      <c r="Q66" s="3811" t="str">
        <f t="shared" si="25"/>
        <v>2020-1</v>
      </c>
      <c r="R66" s="3811" t="str">
        <f t="shared" si="25"/>
        <v>2019-4</v>
      </c>
      <c r="S66" s="3811" t="str">
        <f t="shared" si="25"/>
        <v>2019-3</v>
      </c>
      <c r="T66" s="3811" t="str">
        <f t="shared" si="25"/>
        <v>2019-2</v>
      </c>
      <c r="U66" s="3811" t="str">
        <f t="shared" si="25"/>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M67" si="26">ROUND(E67/(1+F68/100),2)</f>
        <v>97.86</v>
      </c>
      <c r="G67" s="696">
        <f t="shared" si="26"/>
        <v>97.25</v>
      </c>
      <c r="H67" s="696">
        <f t="shared" si="26"/>
        <v>96.21</v>
      </c>
      <c r="I67" s="696">
        <f t="shared" si="26"/>
        <v>95.6</v>
      </c>
      <c r="J67" s="696">
        <f t="shared" si="26"/>
        <v>95.08</v>
      </c>
      <c r="K67" s="696">
        <f t="shared" si="26"/>
        <v>94.63</v>
      </c>
      <c r="L67" s="696">
        <f t="shared" si="26"/>
        <v>93.68</v>
      </c>
      <c r="M67" s="696">
        <f t="shared" si="26"/>
        <v>93.34</v>
      </c>
      <c r="N67" s="696">
        <f t="shared" ref="N67" si="27">ROUND(M67/(1+N68/100),2)</f>
        <v>90.89</v>
      </c>
      <c r="O67" s="696">
        <f t="shared" ref="O67" si="28">ROUND(N67/(1+O68/100),2)</f>
        <v>90.83</v>
      </c>
      <c r="P67" s="696">
        <f t="shared" ref="P67" si="29">ROUND(O67/(1+P68/100),2)</f>
        <v>90.41</v>
      </c>
      <c r="Q67" s="696">
        <f t="shared" ref="Q67" si="30">ROUND(P67/(1+Q68/100),2)</f>
        <v>90.17</v>
      </c>
      <c r="R67" s="696">
        <f t="shared" ref="R67" si="31">ROUND(Q67/(1+R68/100),2)</f>
        <v>89.74</v>
      </c>
      <c r="S67" s="696">
        <f t="shared" ref="S67" si="32">ROUND(R67/(1+S68/100),2)</f>
        <v>88.83</v>
      </c>
      <c r="T67" s="696">
        <f t="shared" ref="T67" si="33">ROUND(S67/(1+T68/100),2)</f>
        <v>87.73</v>
      </c>
      <c r="U67" s="696">
        <f t="shared" ref="U67" si="34">ROUND(T67/(1+U68/100),2)</f>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35">D76&amp;"（含）"&amp;"-"&amp;E76</f>
        <v>1（含）-</v>
      </c>
      <c r="E75" s="648" t="str">
        <f t="shared" si="35"/>
        <v>（含）-</v>
      </c>
      <c r="F75" s="648" t="str">
        <f t="shared" si="35"/>
        <v>（含）-</v>
      </c>
      <c r="G75" s="648" t="str">
        <f t="shared" si="35"/>
        <v>（含）-</v>
      </c>
      <c r="H75" s="648" t="str">
        <f t="shared" si="35"/>
        <v>（含）-</v>
      </c>
      <c r="I75" s="648" t="str">
        <f t="shared" si="35"/>
        <v>（含）-</v>
      </c>
      <c r="J75" s="648" t="str">
        <f t="shared" si="35"/>
        <v>（含）-</v>
      </c>
      <c r="K75" s="648" t="str">
        <f t="shared" si="35"/>
        <v>（含）-</v>
      </c>
      <c r="L75" s="648" t="str">
        <f t="shared" si="35"/>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36">IF($B$43="单位面积地价",C77+$K13,C77-$K13)</f>
        <v>100</v>
      </c>
      <c r="E77" s="645">
        <f t="shared" si="36"/>
        <v>100</v>
      </c>
      <c r="F77" s="645">
        <f t="shared" si="36"/>
        <v>100</v>
      </c>
      <c r="G77" s="645">
        <f t="shared" si="36"/>
        <v>100</v>
      </c>
      <c r="H77" s="645">
        <f t="shared" si="36"/>
        <v>100</v>
      </c>
      <c r="I77" s="645">
        <f t="shared" si="36"/>
        <v>100</v>
      </c>
      <c r="J77" s="645">
        <f t="shared" si="36"/>
        <v>100</v>
      </c>
      <c r="K77" s="645">
        <f t="shared" si="36"/>
        <v>100</v>
      </c>
      <c r="L77" s="645">
        <f t="shared" si="36"/>
        <v>100</v>
      </c>
      <c r="M77" s="645">
        <f t="shared" si="36"/>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3766</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99</v>
      </c>
      <c r="E87" s="645">
        <f>D87-$K19</f>
        <v>98</v>
      </c>
      <c r="F87" s="645">
        <f>E87-$K19</f>
        <v>97</v>
      </c>
      <c r="G87" s="645">
        <f>F87-$K19</f>
        <v>96</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37">C97-$K29</f>
        <v>100</v>
      </c>
      <c r="E97" s="645">
        <f t="shared" si="37"/>
        <v>100</v>
      </c>
      <c r="F97" s="645">
        <f t="shared" si="37"/>
        <v>100</v>
      </c>
      <c r="G97" s="645">
        <f t="shared" si="37"/>
        <v>100</v>
      </c>
      <c r="H97" s="645">
        <f t="shared" si="37"/>
        <v>100</v>
      </c>
      <c r="I97" s="645">
        <f t="shared" si="37"/>
        <v>100</v>
      </c>
      <c r="J97" s="645">
        <f t="shared" si="37"/>
        <v>100</v>
      </c>
      <c r="K97" s="645">
        <f t="shared" si="37"/>
        <v>100</v>
      </c>
      <c r="L97" s="645">
        <f t="shared" si="37"/>
        <v>100</v>
      </c>
      <c r="M97" s="645">
        <f t="shared" si="37"/>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38">C99-$K30</f>
        <v>100</v>
      </c>
      <c r="E99" s="645">
        <f t="shared" si="38"/>
        <v>100</v>
      </c>
      <c r="F99" s="645">
        <f t="shared" si="38"/>
        <v>100</v>
      </c>
      <c r="G99" s="645">
        <f t="shared" si="38"/>
        <v>100</v>
      </c>
      <c r="H99" s="645">
        <f t="shared" si="38"/>
        <v>100</v>
      </c>
      <c r="I99" s="645">
        <f t="shared" si="38"/>
        <v>100</v>
      </c>
      <c r="J99" s="645">
        <f t="shared" si="38"/>
        <v>100</v>
      </c>
      <c r="K99" s="645">
        <f t="shared" si="38"/>
        <v>100</v>
      </c>
      <c r="L99" s="645">
        <f t="shared" si="38"/>
        <v>100</v>
      </c>
      <c r="M99" s="645">
        <f t="shared" si="38"/>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3762</v>
      </c>
      <c r="F100" s="3749" t="s">
        <v>3759</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39">C101-$K32</f>
        <v>96</v>
      </c>
      <c r="E101" s="645">
        <f t="shared" si="39"/>
        <v>92</v>
      </c>
      <c r="F101" s="645">
        <f t="shared" si="39"/>
        <v>88</v>
      </c>
      <c r="G101" s="645">
        <f t="shared" si="39"/>
        <v>84</v>
      </c>
      <c r="H101" s="645">
        <f t="shared" si="39"/>
        <v>80</v>
      </c>
      <c r="I101" s="645">
        <f t="shared" si="39"/>
        <v>76</v>
      </c>
      <c r="J101" s="645">
        <f t="shared" si="39"/>
        <v>72</v>
      </c>
      <c r="K101" s="645">
        <f t="shared" si="39"/>
        <v>68</v>
      </c>
      <c r="L101" s="645">
        <f t="shared" si="39"/>
        <v>64</v>
      </c>
      <c r="M101" s="645">
        <f t="shared" si="39"/>
        <v>60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40">C109&amp;"(含)"&amp;"-"&amp;D109</f>
        <v>0(含)-10000</v>
      </c>
      <c r="D108" s="670" t="str">
        <f t="shared" si="40"/>
        <v>10000(含)-20000</v>
      </c>
      <c r="E108" s="670" t="str">
        <f t="shared" si="40"/>
        <v>20000(含)-</v>
      </c>
      <c r="F108" s="670" t="str">
        <f t="shared" si="40"/>
        <v>(含)-</v>
      </c>
      <c r="G108" s="670" t="str">
        <f t="shared" si="40"/>
        <v>(含)-</v>
      </c>
      <c r="H108" s="670" t="str">
        <f t="shared" si="40"/>
        <v>(含)-</v>
      </c>
      <c r="I108" s="670" t="str">
        <f t="shared" si="40"/>
        <v>(含)-</v>
      </c>
      <c r="J108" s="670" t="str">
        <f t="shared" si="40"/>
        <v>(含)-</v>
      </c>
      <c r="K108" s="2535" t="str">
        <f t="shared" si="40"/>
        <v>(含)-</v>
      </c>
      <c r="L108" s="2536" t="str">
        <f t="shared" si="40"/>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10000</v>
      </c>
      <c r="E109" s="696">
        <v>20000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41">C112-$K37</f>
        <v>100</v>
      </c>
      <c r="E112" s="645">
        <f t="shared" si="41"/>
        <v>100</v>
      </c>
      <c r="F112" s="645">
        <f t="shared" si="41"/>
        <v>100</v>
      </c>
      <c r="G112" s="645">
        <f t="shared" si="41"/>
        <v>100</v>
      </c>
      <c r="H112" s="645">
        <f t="shared" si="41"/>
        <v>100</v>
      </c>
      <c r="I112" s="645">
        <f t="shared" si="41"/>
        <v>100</v>
      </c>
      <c r="J112" s="645">
        <f t="shared" si="41"/>
        <v>100</v>
      </c>
      <c r="K112" s="645">
        <f t="shared" si="41"/>
        <v>100</v>
      </c>
      <c r="L112" s="645">
        <f t="shared" si="41"/>
        <v>100</v>
      </c>
      <c r="M112" s="646">
        <f t="shared" si="41"/>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42">C114-$K38</f>
        <v>99</v>
      </c>
      <c r="E114" s="645">
        <f t="shared" si="42"/>
        <v>98</v>
      </c>
      <c r="F114" s="645">
        <f t="shared" si="42"/>
        <v>97</v>
      </c>
      <c r="G114" s="645">
        <f t="shared" si="42"/>
        <v>96</v>
      </c>
      <c r="H114" s="645">
        <f t="shared" si="42"/>
        <v>95</v>
      </c>
      <c r="I114" s="645">
        <f t="shared" si="42"/>
        <v>94</v>
      </c>
      <c r="J114" s="645">
        <f t="shared" si="42"/>
        <v>93</v>
      </c>
      <c r="K114" s="645">
        <f t="shared" si="42"/>
        <v>92</v>
      </c>
      <c r="L114" s="645">
        <f t="shared" si="42"/>
        <v>91</v>
      </c>
      <c r="M114" s="646">
        <f t="shared" si="42"/>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43">C116-$K39</f>
        <v>100</v>
      </c>
      <c r="E116" s="645">
        <f t="shared" si="43"/>
        <v>100</v>
      </c>
      <c r="F116" s="645">
        <f t="shared" si="43"/>
        <v>100</v>
      </c>
      <c r="G116" s="645">
        <f t="shared" si="43"/>
        <v>100</v>
      </c>
      <c r="H116" s="645">
        <f t="shared" si="43"/>
        <v>100</v>
      </c>
      <c r="I116" s="645">
        <f t="shared" si="43"/>
        <v>100</v>
      </c>
      <c r="J116" s="645">
        <f t="shared" si="43"/>
        <v>100</v>
      </c>
      <c r="K116" s="645">
        <f t="shared" si="43"/>
        <v>100</v>
      </c>
      <c r="L116" s="645">
        <f t="shared" si="43"/>
        <v>100</v>
      </c>
      <c r="M116" s="646">
        <f t="shared" si="43"/>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215" priority="17" stopIfTrue="1" operator="containsText" text="超过">
      <formula>NOT(ISERROR(SEARCH("超过",F48)))</formula>
    </cfRule>
  </conditionalFormatting>
  <conditionalFormatting sqref="J50">
    <cfRule type="containsText" dxfId="214" priority="16" stopIfTrue="1" operator="containsText" text="超过">
      <formula>NOT(ISERROR(SEARCH("超过",J50)))</formula>
    </cfRule>
  </conditionalFormatting>
  <conditionalFormatting sqref="H50">
    <cfRule type="containsText" dxfId="213" priority="15" stopIfTrue="1" operator="containsText" text="超过">
      <formula>NOT(ISERROR(SEARCH("超过",H50)))</formula>
    </cfRule>
  </conditionalFormatting>
  <conditionalFormatting sqref="F50">
    <cfRule type="containsText" dxfId="212" priority="14" stopIfTrue="1" operator="containsText" text="超过">
      <formula>NOT(ISERROR(SEARCH("超过",F50)))</formula>
    </cfRule>
  </conditionalFormatting>
  <conditionalFormatting sqref="F49 H49 J49">
    <cfRule type="containsText" dxfId="211" priority="13" stopIfTrue="1" operator="containsText" text="超过">
      <formula>NOT(ISERROR(SEARCH("超过",F49)))</formula>
    </cfRule>
  </conditionalFormatting>
  <conditionalFormatting sqref="E48">
    <cfRule type="expression" dxfId="210" priority="12" stopIfTrue="1">
      <formula>$F$48="超过30%"</formula>
    </cfRule>
  </conditionalFormatting>
  <conditionalFormatting sqref="G50">
    <cfRule type="expression" dxfId="209" priority="11" stopIfTrue="1">
      <formula>$H$50="超过30%"</formula>
    </cfRule>
  </conditionalFormatting>
  <conditionalFormatting sqref="E50">
    <cfRule type="expression" dxfId="208" priority="10" stopIfTrue="1">
      <formula>$F$50="超过30%"</formula>
    </cfRule>
  </conditionalFormatting>
  <conditionalFormatting sqref="G48">
    <cfRule type="expression" dxfId="207" priority="9" stopIfTrue="1">
      <formula>$H$48="超过30%"</formula>
    </cfRule>
  </conditionalFormatting>
  <conditionalFormatting sqref="G49">
    <cfRule type="expression" dxfId="206" priority="8" stopIfTrue="1">
      <formula>$H$49="超过20%"</formula>
    </cfRule>
  </conditionalFormatting>
  <conditionalFormatting sqref="I48">
    <cfRule type="expression" dxfId="205" priority="7" stopIfTrue="1">
      <formula>$J$48="超过30%"</formula>
    </cfRule>
  </conditionalFormatting>
  <conditionalFormatting sqref="I49">
    <cfRule type="expression" dxfId="204" priority="6" stopIfTrue="1">
      <formula>$J$49="超过20%"</formula>
    </cfRule>
  </conditionalFormatting>
  <conditionalFormatting sqref="I50">
    <cfRule type="expression" dxfId="203" priority="5" stopIfTrue="1">
      <formula>$J$50="超过30%"</formula>
    </cfRule>
  </conditionalFormatting>
  <conditionalFormatting sqref="E49">
    <cfRule type="expression" dxfId="202" priority="18" stopIfTrue="1">
      <formula>#REF!+$F$49="超过20%"</formula>
    </cfRule>
  </conditionalFormatting>
  <conditionalFormatting sqref="F44">
    <cfRule type="expression" dxfId="201" priority="4">
      <formula>$D$44="简单平均"</formula>
    </cfRule>
  </conditionalFormatting>
  <conditionalFormatting sqref="H44">
    <cfRule type="expression" dxfId="200" priority="3">
      <formula>$D$44="简单平均"</formula>
    </cfRule>
  </conditionalFormatting>
  <conditionalFormatting sqref="J44">
    <cfRule type="expression" dxfId="199" priority="2">
      <formula>$D$44="简单平均"</formula>
    </cfRule>
  </conditionalFormatting>
  <conditionalFormatting sqref="F9:F42 H9:H42 J9:J42">
    <cfRule type="cellIs" dxfId="198" priority="1" operator="notEqual">
      <formula>100</formula>
    </cfRule>
  </conditionalFormatting>
  <dataValidations count="20">
    <dataValidation type="list" allowBlank="1" showInputMessage="1" showErrorMessage="1" sqref="D54:D61" xr:uid="{A0318C79-15BD-4C2B-8A53-D426C2FC6FBF}">
      <formula1>"25%,1"</formula1>
    </dataValidation>
    <dataValidation type="list" allowBlank="1" showInputMessage="1" showErrorMessage="1" sqref="D44" xr:uid="{337E177C-EA28-4D19-8396-3A37797C999E}">
      <formula1>"简单平均,加权平均"</formula1>
    </dataValidation>
    <dataValidation type="list" allowBlank="1" showInputMessage="1" showErrorMessage="1" sqref="C39 E39 G39 I39" xr:uid="{A62FA869-F460-45B2-992F-DE272F7B8B5E}">
      <formula1>套工工程地质条件</formula1>
    </dataValidation>
    <dataValidation type="list" allowBlank="1" showInputMessage="1" showErrorMessage="1" sqref="C38 E38 G38 I38" xr:uid="{4AE3A568-0398-4921-A63B-CC107CFE4478}">
      <formula1>套工开发程度</formula1>
    </dataValidation>
    <dataValidation type="list" allowBlank="1" showInputMessage="1" showErrorMessage="1" sqref="C37 E37 G37 I37" xr:uid="{925663BA-C18D-448A-84A6-DA5E91A9FC6B}">
      <formula1>套工宗地形状</formula1>
    </dataValidation>
    <dataValidation type="list" allowBlank="1" showInputMessage="1" showErrorMessage="1" sqref="C31 E31 G31 I31" xr:uid="{D0CCA1D7-8064-41D8-97F2-85F1D90F71C9}">
      <formula1>套工临街等级</formula1>
    </dataValidation>
    <dataValidation type="list" allowBlank="1" showInputMessage="1" showErrorMessage="1" sqref="C28 E28 G28 I28" xr:uid="{E50D51D8-D5B0-4A72-A4F2-0E6B5D0D76BA}">
      <formula1>基础设施水平</formula1>
    </dataValidation>
    <dataValidation type="list" allowBlank="1" showInputMessage="1" showErrorMessage="1" sqref="C18 E18 G18 I18" xr:uid="{60E6250D-1083-487D-8E35-C796C24BD0A9}">
      <formula1>产业集聚程度</formula1>
    </dataValidation>
    <dataValidation type="list" allowBlank="1" showInputMessage="1" showErrorMessage="1" sqref="G59" xr:uid="{1CB5721D-7389-44B1-B266-E8C4013B3BD4}">
      <formula1>"住宅,工业"</formula1>
    </dataValidation>
    <dataValidation type="list" allowBlank="1" showInputMessage="1" showErrorMessage="1" sqref="G58" xr:uid="{73A4BC40-E706-430D-9FCF-7F5EFF60B38D}">
      <formula1>"商业,办公,住宅,工业"</formula1>
    </dataValidation>
    <dataValidation type="list" allowBlank="1" showInputMessage="1" showErrorMessage="1" sqref="C52" xr:uid="{822E8817-17A2-43F3-B347-E09D00812CE2}">
      <formula1>"北京市系数,其他省市系数"</formula1>
    </dataValidation>
    <dataValidation type="list" allowBlank="1" showInputMessage="1" showErrorMessage="1" sqref="E22 C22 G22 I22" xr:uid="{DE22A84C-42C3-406A-AB61-40368382BAB9}">
      <formula1>区域土地利用方向</formula1>
    </dataValidation>
    <dataValidation type="list" allowBlank="1" showInputMessage="1" showErrorMessage="1" sqref="C29 E29 G29 I29" xr:uid="{A34C565A-20C5-4FD8-91E3-8FE065C339E1}">
      <formula1>临街状况</formula1>
    </dataValidation>
    <dataValidation type="list" allowBlank="1" showInputMessage="1" showErrorMessage="1" sqref="I32 E32 G32" xr:uid="{4F4BB7A9-2C8D-403A-8DE3-8E00F9A8275D}">
      <formula1>套工土地级别</formula1>
    </dataValidation>
    <dataValidation type="list" allowBlank="1" showInputMessage="1" showErrorMessage="1" sqref="C11 E11 G11 I11" xr:uid="{7D12C6B5-E372-4982-A9DF-3446D1109711}">
      <formula1>套工用途</formula1>
    </dataValidation>
    <dataValidation type="list" allowBlank="1" showInputMessage="1" showErrorMessage="1" sqref="C10 E10 G10 I10" xr:uid="{6FF2853D-DB2F-489F-84BA-A5233CB1EB2F}">
      <formula1>套工交易情况</formula1>
    </dataValidation>
    <dataValidation type="list" allowBlank="1" showInputMessage="1" showErrorMessage="1" sqref="E26 C26 I26 G26" xr:uid="{D0348E2B-3F7F-4F07-92C6-622E588FACBA}">
      <formula1>公共配套设施</formula1>
    </dataValidation>
    <dataValidation type="list" allowBlank="1" showInputMessage="1" showErrorMessage="1" sqref="E20 C20 G20 I20" xr:uid="{321CFD6B-4642-4BD9-BC9D-60F85E410A62}">
      <formula1>交通便捷度</formula1>
    </dataValidation>
    <dataValidation type="list" allowBlank="1" showInputMessage="1" showErrorMessage="1" sqref="C24 E24 G24 I24" xr:uid="{96F851F3-3448-405F-B7F2-DA9B1F4FA24C}">
      <formula1>环境</formula1>
    </dataValidation>
    <dataValidation type="list" allowBlank="1" showInputMessage="1" showErrorMessage="1" sqref="B43" xr:uid="{59A0E36E-511A-4946-B786-D2DFCD7121A2}">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BE04-71E4-440F-A3CE-06C1DD3E21D7}">
  <sheetPr>
    <tabColor rgb="FF92D050"/>
    <pageSetUpPr fitToPage="1"/>
  </sheetPr>
  <dimension ref="A1:AC261"/>
  <sheetViews>
    <sheetView view="pageBreakPreview" topLeftCell="B28" zoomScale="85" zoomScaleNormal="50" zoomScaleSheetLayoutView="85" workbookViewId="0">
      <selection activeCell="E36" sqref="E36"/>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10366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4686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4686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3836"/>
      <c r="Y6" s="4063" t="s">
        <v>476</v>
      </c>
      <c r="Z6" s="4064"/>
      <c r="AA6" s="4058" t="s">
        <v>472</v>
      </c>
      <c r="AB6" s="4059" t="s">
        <v>473</v>
      </c>
      <c r="AC6" s="4058" t="s">
        <v>474</v>
      </c>
    </row>
    <row r="7" spans="1:29" ht="15">
      <c r="A7" s="483"/>
      <c r="B7" s="484"/>
      <c r="C7" s="4088" t="s">
        <v>2190</v>
      </c>
      <c r="D7" s="4089"/>
      <c r="E7" s="4101" t="str">
        <f>'比较法案例（ppt）'!B5</f>
        <v>北京金通资产经营管理公司</v>
      </c>
      <c r="F7" s="4102"/>
      <c r="G7" s="4088" t="str">
        <f>新案例整理1024!C3</f>
        <v>北方智能微机电集团有限公司</v>
      </c>
      <c r="H7" s="4089"/>
      <c r="I7" s="4088" t="str">
        <f>新案例整理1024!C11</f>
        <v>北京九龙华源实业公司</v>
      </c>
      <c r="J7" s="4089"/>
      <c r="K7" s="482"/>
      <c r="L7" s="1854"/>
      <c r="M7" s="1855"/>
      <c r="N7" s="1855"/>
      <c r="O7" s="1855"/>
      <c r="P7" s="4081"/>
      <c r="Q7" s="4082"/>
      <c r="R7" s="4065"/>
      <c r="S7" s="4066"/>
      <c r="T7" s="4065"/>
      <c r="U7" s="4066"/>
      <c r="V7" s="4085"/>
      <c r="W7" s="4085"/>
      <c r="X7" s="3836"/>
      <c r="Y7" s="4065"/>
      <c r="Z7" s="4066"/>
      <c r="AA7" s="4059"/>
      <c r="AB7" s="4059"/>
      <c r="AC7" s="4059"/>
    </row>
    <row r="8" spans="1:29" ht="15.75" thickBot="1">
      <c r="A8" s="485"/>
      <c r="B8" s="486"/>
      <c r="C8" s="4086" t="s">
        <v>2194</v>
      </c>
      <c r="D8" s="4087"/>
      <c r="E8" s="4103" t="str">
        <f>'比较法案例（ppt）'!B6</f>
        <v>通州区张家湾镇张辛庄村</v>
      </c>
      <c r="F8" s="4104"/>
      <c r="G8" s="4105" t="str">
        <f>新案例整理1024!B3</f>
        <v>通州区张家湾镇张辛庄村</v>
      </c>
      <c r="H8" s="4087"/>
      <c r="I8" s="4105" t="str">
        <f>新案例整理1024!B11</f>
        <v>门头沟区门头沟路47号-7</v>
      </c>
      <c r="J8" s="4087"/>
      <c r="K8" s="482" t="s">
        <v>477</v>
      </c>
      <c r="L8" s="1854"/>
      <c r="M8" s="1855"/>
      <c r="N8" s="1855"/>
      <c r="O8" s="1855"/>
      <c r="P8" s="4083"/>
      <c r="Q8" s="4084"/>
      <c r="R8" s="4065"/>
      <c r="S8" s="4066"/>
      <c r="T8" s="4067"/>
      <c r="U8" s="4068"/>
      <c r="V8" s="4085"/>
      <c r="W8" s="4085"/>
      <c r="X8" s="3836"/>
      <c r="Y8" s="4067"/>
      <c r="Z8" s="4068"/>
      <c r="AA8" s="4060"/>
      <c r="AB8" s="4060"/>
      <c r="AC8" s="4060"/>
    </row>
    <row r="9" spans="1:29" s="1116" customFormat="1" ht="15.75" thickBot="1">
      <c r="A9" s="2390"/>
      <c r="B9" s="2397" t="s">
        <v>478</v>
      </c>
      <c r="C9" s="487">
        <f>'数据-取费表'!B2</f>
        <v>45173</v>
      </c>
      <c r="D9" s="488">
        <v>100</v>
      </c>
      <c r="E9" s="489">
        <f>'比较法案例（ppt）'!B8</f>
        <v>43525</v>
      </c>
      <c r="F9" s="490">
        <f>SUMIF(66:66,YEAR(E9)&amp;"-"&amp;INT((MONTH(E9)+2)/3),67:67)</f>
        <v>86.75</v>
      </c>
      <c r="G9" s="491">
        <f>新案例整理1024!L3</f>
        <v>43525</v>
      </c>
      <c r="H9" s="488">
        <f>SUMIF(66:66,YEAR(G9)&amp;"-"&amp;INT((MONTH(G9)+2)/3),67:67)</f>
        <v>86.75</v>
      </c>
      <c r="I9" s="491">
        <f>新案例整理1024!L11</f>
        <v>43368</v>
      </c>
      <c r="J9" s="488">
        <f>SUMIF(66:66,YEAR(I9)&amp;"-"&amp;INT((MONTH(I9)+2)/3),67:67)</f>
        <v>84.19</v>
      </c>
      <c r="K9" s="492"/>
      <c r="L9" s="1856"/>
      <c r="M9" s="1857"/>
      <c r="N9" s="1857"/>
      <c r="O9" s="1857"/>
      <c r="P9" s="4061" t="s">
        <v>479</v>
      </c>
      <c r="Q9" s="4070"/>
      <c r="R9" s="1379" t="s">
        <v>5</v>
      </c>
      <c r="S9" s="1380">
        <f t="shared" ref="S9:S17" si="0">F9</f>
        <v>86.75</v>
      </c>
      <c r="T9" s="1379" t="s">
        <v>5</v>
      </c>
      <c r="U9" s="1380">
        <f t="shared" ref="U9:U17" si="1">H9</f>
        <v>86.75</v>
      </c>
      <c r="V9" s="1379" t="s">
        <v>5</v>
      </c>
      <c r="W9" s="1380">
        <f t="shared" ref="W9:W17" si="2">J9</f>
        <v>84.19</v>
      </c>
      <c r="X9" s="1381"/>
      <c r="Y9" s="4061" t="s">
        <v>479</v>
      </c>
      <c r="Z9" s="4062"/>
      <c r="AA9" s="1382">
        <f>D9/F9</f>
        <v>1.1527377521613833</v>
      </c>
      <c r="AB9" s="1382">
        <f>D9/H9</f>
        <v>1.1527377521613833</v>
      </c>
      <c r="AC9" s="1382">
        <f>D9/J9</f>
        <v>1.1877895236964011</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3834" t="str">
        <f t="shared" ref="Q11:Q17" si="6">B11</f>
        <v>用途</v>
      </c>
      <c r="R11" s="1379" t="s">
        <v>5</v>
      </c>
      <c r="S11" s="1380">
        <f t="shared" si="0"/>
        <v>100</v>
      </c>
      <c r="T11" s="1379" t="s">
        <v>5</v>
      </c>
      <c r="U11" s="1380">
        <f t="shared" si="1"/>
        <v>100</v>
      </c>
      <c r="V11" s="1379" t="s">
        <v>5</v>
      </c>
      <c r="W11" s="1380">
        <f t="shared" si="2"/>
        <v>100</v>
      </c>
      <c r="X11" s="1381"/>
      <c r="Y11" s="400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9"/>
      <c r="Q12" s="3834" t="str">
        <f t="shared" si="6"/>
        <v>土地使用年限（年）</v>
      </c>
      <c r="R12" s="1379" t="s">
        <v>5</v>
      </c>
      <c r="S12" s="1380">
        <f t="shared" si="0"/>
        <v>100</v>
      </c>
      <c r="T12" s="1379" t="s">
        <v>5</v>
      </c>
      <c r="U12" s="1380">
        <f t="shared" si="1"/>
        <v>100</v>
      </c>
      <c r="V12" s="1379" t="s">
        <v>5</v>
      </c>
      <c r="W12" s="1380">
        <f t="shared" si="2"/>
        <v>100</v>
      </c>
      <c r="X12" s="1381"/>
      <c r="Y12" s="400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9"/>
      <c r="Q13" s="3834" t="str">
        <f t="shared" si="6"/>
        <v>容积率</v>
      </c>
      <c r="R13" s="1379" t="s">
        <v>5</v>
      </c>
      <c r="S13" s="1380">
        <f t="shared" si="0"/>
        <v>100</v>
      </c>
      <c r="T13" s="1379" t="s">
        <v>5</v>
      </c>
      <c r="U13" s="1380">
        <f t="shared" si="1"/>
        <v>100</v>
      </c>
      <c r="V13" s="1379" t="s">
        <v>5</v>
      </c>
      <c r="W13" s="1380">
        <f t="shared" si="2"/>
        <v>100</v>
      </c>
      <c r="X13" s="1381"/>
      <c r="Y13" s="4009"/>
      <c r="Z13" s="3833"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3818" t="s">
        <v>3893</v>
      </c>
      <c r="J14" s="246">
        <f>SUMIF(78:78,I14,79:79)-SUMIF(78:78,C14,79:79)+100</f>
        <v>100</v>
      </c>
      <c r="K14" s="499"/>
      <c r="L14" s="1856"/>
      <c r="M14" s="1857"/>
      <c r="N14" s="1857"/>
      <c r="O14" s="1858"/>
      <c r="P14" s="4069"/>
      <c r="Q14" s="3834">
        <f t="shared" si="6"/>
        <v>111</v>
      </c>
      <c r="R14" s="1379" t="s">
        <v>5</v>
      </c>
      <c r="S14" s="1380">
        <f t="shared" si="0"/>
        <v>100</v>
      </c>
      <c r="T14" s="1379" t="s">
        <v>5</v>
      </c>
      <c r="U14" s="1380">
        <f t="shared" si="1"/>
        <v>100</v>
      </c>
      <c r="V14" s="1379" t="s">
        <v>5</v>
      </c>
      <c r="W14" s="1380">
        <f t="shared" si="2"/>
        <v>100</v>
      </c>
      <c r="X14" s="1381"/>
      <c r="Y14" s="400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3834">
        <f t="shared" si="6"/>
        <v>111</v>
      </c>
      <c r="R15" s="1379" t="s">
        <v>5</v>
      </c>
      <c r="S15" s="1380">
        <f t="shared" si="0"/>
        <v>100</v>
      </c>
      <c r="T15" s="1379" t="s">
        <v>5</v>
      </c>
      <c r="U15" s="1380">
        <f t="shared" si="1"/>
        <v>100</v>
      </c>
      <c r="V15" s="1379" t="s">
        <v>5</v>
      </c>
      <c r="W15" s="1380">
        <f t="shared" si="2"/>
        <v>100</v>
      </c>
      <c r="X15" s="1381"/>
      <c r="Y15" s="400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3834">
        <f t="shared" si="6"/>
        <v>111</v>
      </c>
      <c r="R16" s="1379" t="s">
        <v>5</v>
      </c>
      <c r="S16" s="1380">
        <f t="shared" si="0"/>
        <v>100</v>
      </c>
      <c r="T16" s="1379" t="s">
        <v>5</v>
      </c>
      <c r="U16" s="1380">
        <f t="shared" si="1"/>
        <v>100</v>
      </c>
      <c r="V16" s="1379" t="s">
        <v>5</v>
      </c>
      <c r="W16" s="1380">
        <f t="shared" si="2"/>
        <v>100</v>
      </c>
      <c r="X16" s="1381"/>
      <c r="Y16" s="400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1</v>
      </c>
      <c r="L17" s="1863"/>
      <c r="M17" s="1855"/>
      <c r="N17" s="1855"/>
      <c r="O17" s="1862"/>
      <c r="P17" s="4071" t="s">
        <v>489</v>
      </c>
      <c r="Q17" s="3837" t="str">
        <f t="shared" si="6"/>
        <v>产业集聚程度</v>
      </c>
      <c r="R17" s="1384" t="s">
        <v>5</v>
      </c>
      <c r="S17" s="1385">
        <f t="shared" si="0"/>
        <v>100</v>
      </c>
      <c r="T17" s="1384" t="s">
        <v>5</v>
      </c>
      <c r="U17" s="1385">
        <f t="shared" si="1"/>
        <v>100</v>
      </c>
      <c r="V17" s="1384" t="s">
        <v>5</v>
      </c>
      <c r="W17" s="1385">
        <f t="shared" si="2"/>
        <v>100</v>
      </c>
      <c r="X17" s="3836"/>
      <c r="Y17" s="4071" t="s">
        <v>489</v>
      </c>
      <c r="Z17" s="3838" t="str">
        <f t="shared" si="7"/>
        <v>产业集聚程度</v>
      </c>
      <c r="AA17" s="3839">
        <f t="shared" si="3"/>
        <v>1</v>
      </c>
      <c r="AB17" s="3839">
        <f t="shared" si="4"/>
        <v>1</v>
      </c>
      <c r="AC17" s="3839">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72"/>
      <c r="Q18" s="3837"/>
      <c r="R18" s="1384"/>
      <c r="S18" s="1385"/>
      <c r="T18" s="1384"/>
      <c r="U18" s="1385"/>
      <c r="V18" s="1384"/>
      <c r="W18" s="1385"/>
      <c r="X18" s="3836"/>
      <c r="Y18" s="4072"/>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2</v>
      </c>
      <c r="L19" s="1863"/>
      <c r="M19" s="1855"/>
      <c r="N19" s="1855"/>
      <c r="O19" s="1862"/>
      <c r="P19" s="4072"/>
      <c r="Q19" s="3837" t="str">
        <f>B19</f>
        <v>交通便捷度</v>
      </c>
      <c r="R19" s="1384" t="s">
        <v>5</v>
      </c>
      <c r="S19" s="1385">
        <f>F19</f>
        <v>100</v>
      </c>
      <c r="T19" s="1384" t="s">
        <v>5</v>
      </c>
      <c r="U19" s="1385">
        <f>H19</f>
        <v>100</v>
      </c>
      <c r="V19" s="1384" t="s">
        <v>5</v>
      </c>
      <c r="W19" s="1385">
        <f>J19</f>
        <v>100</v>
      </c>
      <c r="X19" s="3836"/>
      <c r="Y19" s="4072"/>
      <c r="Z19" s="3838" t="str">
        <f>Q19</f>
        <v>交通便捷度</v>
      </c>
      <c r="AA19" s="3839">
        <f t="shared" si="3"/>
        <v>1</v>
      </c>
      <c r="AB19" s="3839">
        <f t="shared" si="4"/>
        <v>1</v>
      </c>
      <c r="AC19" s="3839">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72"/>
      <c r="Q20" s="3837"/>
      <c r="R20" s="1384"/>
      <c r="S20" s="1385"/>
      <c r="T20" s="1384"/>
      <c r="U20" s="1385"/>
      <c r="V20" s="1384"/>
      <c r="W20" s="1385"/>
      <c r="X20" s="3836"/>
      <c r="Y20" s="4072"/>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72"/>
      <c r="Q21" s="3837" t="str">
        <f t="shared" ref="Q21:Q35" si="8">B21</f>
        <v>区域土地利用方向</v>
      </c>
      <c r="R21" s="1384" t="s">
        <v>5</v>
      </c>
      <c r="S21" s="1385">
        <f>F21</f>
        <v>100</v>
      </c>
      <c r="T21" s="1384" t="s">
        <v>5</v>
      </c>
      <c r="U21" s="1385">
        <f>H21</f>
        <v>100</v>
      </c>
      <c r="V21" s="1384" t="s">
        <v>5</v>
      </c>
      <c r="W21" s="1385">
        <f>J21</f>
        <v>100</v>
      </c>
      <c r="X21" s="3836"/>
      <c r="Y21" s="4072"/>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72"/>
      <c r="Q22" s="3837"/>
      <c r="R22" s="1384"/>
      <c r="S22" s="1385"/>
      <c r="T22" s="1384"/>
      <c r="U22" s="1385"/>
      <c r="V22" s="1384"/>
      <c r="W22" s="1385"/>
      <c r="X22" s="3836"/>
      <c r="Y22" s="4072"/>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3837" t="str">
        <f t="shared" si="8"/>
        <v>环境状况</v>
      </c>
      <c r="R23" s="1384" t="s">
        <v>5</v>
      </c>
      <c r="S23" s="1385">
        <f>F23</f>
        <v>100</v>
      </c>
      <c r="T23" s="1384" t="s">
        <v>5</v>
      </c>
      <c r="U23" s="1385">
        <f>H23</f>
        <v>100</v>
      </c>
      <c r="V23" s="1384" t="s">
        <v>5</v>
      </c>
      <c r="W23" s="1385">
        <f>J23</f>
        <v>100</v>
      </c>
      <c r="X23" s="3836"/>
      <c r="Y23" s="4072"/>
      <c r="Z23" s="3838" t="str">
        <f>Q23</f>
        <v>环境状况</v>
      </c>
      <c r="AA23" s="3839">
        <f t="shared" si="3"/>
        <v>1</v>
      </c>
      <c r="AB23" s="3839">
        <f t="shared" si="4"/>
        <v>1</v>
      </c>
      <c r="AC23" s="3839">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3837"/>
      <c r="R24" s="1384"/>
      <c r="S24" s="1385"/>
      <c r="T24" s="1384"/>
      <c r="U24" s="1385"/>
      <c r="V24" s="1384"/>
      <c r="W24" s="1385"/>
      <c r="X24" s="3836"/>
      <c r="Y24" s="4072"/>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3834" t="str">
        <f t="shared" si="8"/>
        <v>公共配套设施</v>
      </c>
      <c r="R25" s="1379" t="s">
        <v>5</v>
      </c>
      <c r="S25" s="1380">
        <f>F25</f>
        <v>100</v>
      </c>
      <c r="T25" s="1379" t="s">
        <v>5</v>
      </c>
      <c r="U25" s="1380">
        <f>H25</f>
        <v>100</v>
      </c>
      <c r="V25" s="1379" t="s">
        <v>5</v>
      </c>
      <c r="W25" s="1380">
        <f>J25</f>
        <v>100</v>
      </c>
      <c r="X25" s="1381"/>
      <c r="Y25" s="4072"/>
      <c r="Z25" s="3833" t="str">
        <f>Q25</f>
        <v>公共配套设施</v>
      </c>
      <c r="AA25" s="3839">
        <f>D25/F25</f>
        <v>1</v>
      </c>
      <c r="AB25" s="3839">
        <f>D25/H25</f>
        <v>1</v>
      </c>
      <c r="AC25" s="3839">
        <f>D25/J25</f>
        <v>1</v>
      </c>
    </row>
    <row r="26" spans="1:29" s="1116" customFormat="1" ht="15">
      <c r="A26" s="545"/>
      <c r="B26" s="563"/>
      <c r="C26" s="2198"/>
      <c r="D26" s="523"/>
      <c r="E26" s="522"/>
      <c r="F26" s="523"/>
      <c r="G26" s="522"/>
      <c r="H26" s="523"/>
      <c r="I26" s="544"/>
      <c r="J26" s="523"/>
      <c r="K26" s="499"/>
      <c r="L26" s="1856"/>
      <c r="M26" s="1857"/>
      <c r="N26" s="1857"/>
      <c r="O26" s="1858"/>
      <c r="P26" s="4072"/>
      <c r="Q26" s="3834"/>
      <c r="R26" s="1379"/>
      <c r="S26" s="1380"/>
      <c r="T26" s="1379"/>
      <c r="U26" s="1380"/>
      <c r="V26" s="1379"/>
      <c r="W26" s="1380"/>
      <c r="X26" s="1381"/>
      <c r="Y26" s="4072"/>
      <c r="Z26" s="383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v>0</v>
      </c>
      <c r="L27" s="1856"/>
      <c r="M27" s="1857"/>
      <c r="N27" s="1857"/>
      <c r="O27" s="1858"/>
      <c r="P27" s="4072"/>
      <c r="Q27" s="3834" t="str">
        <f>B27</f>
        <v>基础设施水平</v>
      </c>
      <c r="R27" s="1379" t="s">
        <v>5</v>
      </c>
      <c r="S27" s="1380">
        <f>F27</f>
        <v>100</v>
      </c>
      <c r="T27" s="1379" t="s">
        <v>5</v>
      </c>
      <c r="U27" s="1380">
        <f>H27</f>
        <v>100</v>
      </c>
      <c r="V27" s="1379" t="s">
        <v>5</v>
      </c>
      <c r="W27" s="1380">
        <f>J27</f>
        <v>100</v>
      </c>
      <c r="X27" s="1381"/>
      <c r="Y27" s="4072"/>
      <c r="Z27" s="3833" t="str">
        <f>Q27</f>
        <v>基础设施水平</v>
      </c>
      <c r="AA27" s="3839">
        <f>D27/F27</f>
        <v>1</v>
      </c>
      <c r="AB27" s="3839">
        <f>D27/H27</f>
        <v>1</v>
      </c>
      <c r="AC27" s="3839">
        <f>D27/J27</f>
        <v>1</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72"/>
      <c r="Q28" s="3834"/>
      <c r="R28" s="1379"/>
      <c r="S28" s="1380"/>
      <c r="T28" s="1379"/>
      <c r="U28" s="1380"/>
      <c r="V28" s="1379"/>
      <c r="W28" s="1380"/>
      <c r="X28" s="1381"/>
      <c r="Y28" s="4072"/>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72"/>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3837" t="str">
        <f t="shared" si="8"/>
        <v>毗邻道路的类型与等级</v>
      </c>
      <c r="R30" s="1384" t="s">
        <v>5</v>
      </c>
      <c r="S30" s="1385">
        <f t="shared" si="9"/>
        <v>100</v>
      </c>
      <c r="T30" s="1384" t="s">
        <v>5</v>
      </c>
      <c r="U30" s="1385">
        <f t="shared" si="10"/>
        <v>100</v>
      </c>
      <c r="V30" s="1384" t="s">
        <v>5</v>
      </c>
      <c r="W30" s="1385">
        <f t="shared" si="11"/>
        <v>100</v>
      </c>
      <c r="X30" s="3836"/>
      <c r="Y30" s="4072"/>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72"/>
      <c r="Q31" s="3837"/>
      <c r="R31" s="1384"/>
      <c r="S31" s="1385"/>
      <c r="T31" s="1384"/>
      <c r="U31" s="1385"/>
      <c r="V31" s="1384"/>
      <c r="W31" s="1385"/>
      <c r="X31" s="3836"/>
      <c r="Y31" s="4072"/>
      <c r="Z31" s="3838"/>
      <c r="AA31" s="3839">
        <v>1</v>
      </c>
      <c r="AB31" s="3839">
        <v>1</v>
      </c>
      <c r="AC31" s="3839">
        <v>1</v>
      </c>
    </row>
    <row r="32" spans="1:29" ht="15">
      <c r="A32" s="500"/>
      <c r="B32" s="495" t="s">
        <v>498</v>
      </c>
      <c r="C32" s="2202" t="str">
        <f>估价对象房地状况!G23</f>
        <v>八级</v>
      </c>
      <c r="D32" s="508">
        <v>100</v>
      </c>
      <c r="E32" s="548" t="s">
        <v>1153</v>
      </c>
      <c r="F32" s="508">
        <f>SUMIF(100:100,E32,101:101)-SUMIF(100:100,C32,101:101)+100</f>
        <v>103</v>
      </c>
      <c r="G32" s="548" t="s">
        <v>1153</v>
      </c>
      <c r="H32" s="508">
        <f>SUMIF(100:100,G32,101:101)-SUMIF(100:100,C32,101:101)+100</f>
        <v>103</v>
      </c>
      <c r="I32" s="548" t="s">
        <v>1155</v>
      </c>
      <c r="J32" s="508">
        <f>SUMIF(100:100,I32,101:101)-SUMIF(100:100,C32,101:101)+100</f>
        <v>100</v>
      </c>
      <c r="K32" s="552">
        <v>1.5</v>
      </c>
      <c r="L32" s="1863"/>
      <c r="M32" s="1855"/>
      <c r="N32" s="1855"/>
      <c r="O32" s="1862"/>
      <c r="P32" s="4072"/>
      <c r="Q32" s="3837" t="str">
        <f t="shared" si="8"/>
        <v>土地级别</v>
      </c>
      <c r="R32" s="1384" t="s">
        <v>5</v>
      </c>
      <c r="S32" s="1385">
        <f t="shared" si="9"/>
        <v>103</v>
      </c>
      <c r="T32" s="1384" t="s">
        <v>5</v>
      </c>
      <c r="U32" s="1385">
        <f t="shared" si="10"/>
        <v>103</v>
      </c>
      <c r="V32" s="1384" t="s">
        <v>5</v>
      </c>
      <c r="W32" s="1385">
        <f t="shared" si="11"/>
        <v>100</v>
      </c>
      <c r="X32" s="3836"/>
      <c r="Y32" s="4072"/>
      <c r="Z32" s="3838" t="str">
        <f t="shared" si="12"/>
        <v>土地级别</v>
      </c>
      <c r="AA32" s="3839">
        <f t="shared" si="3"/>
        <v>0.970873786407767</v>
      </c>
      <c r="AB32" s="3839">
        <f t="shared" si="4"/>
        <v>0.970873786407767</v>
      </c>
      <c r="AC32" s="3839">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3837">
        <f t="shared" si="8"/>
        <v>111</v>
      </c>
      <c r="R33" s="1384" t="s">
        <v>5</v>
      </c>
      <c r="S33" s="1385">
        <f t="shared" si="9"/>
        <v>100</v>
      </c>
      <c r="T33" s="1384" t="s">
        <v>5</v>
      </c>
      <c r="U33" s="1385">
        <f t="shared" si="10"/>
        <v>100</v>
      </c>
      <c r="V33" s="1384" t="s">
        <v>5</v>
      </c>
      <c r="W33" s="1385">
        <f t="shared" si="11"/>
        <v>100</v>
      </c>
      <c r="X33" s="3836"/>
      <c r="Y33" s="4072"/>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3837">
        <f t="shared" si="8"/>
        <v>111</v>
      </c>
      <c r="R34" s="1384" t="s">
        <v>5</v>
      </c>
      <c r="S34" s="1385">
        <f t="shared" si="9"/>
        <v>100</v>
      </c>
      <c r="T34" s="1384" t="s">
        <v>5</v>
      </c>
      <c r="U34" s="1385">
        <f t="shared" si="10"/>
        <v>100</v>
      </c>
      <c r="V34" s="1384" t="s">
        <v>5</v>
      </c>
      <c r="W34" s="1385">
        <f t="shared" si="11"/>
        <v>100</v>
      </c>
      <c r="X34" s="3836"/>
      <c r="Y34" s="4074"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3837">
        <f t="shared" si="8"/>
        <v>111</v>
      </c>
      <c r="R35" s="1388" t="s">
        <v>5</v>
      </c>
      <c r="S35" s="1389">
        <f t="shared" si="9"/>
        <v>100</v>
      </c>
      <c r="T35" s="1388" t="s">
        <v>5</v>
      </c>
      <c r="U35" s="1389">
        <f t="shared" si="10"/>
        <v>100</v>
      </c>
      <c r="V35" s="1388" t="s">
        <v>5</v>
      </c>
      <c r="W35" s="1389">
        <f t="shared" si="11"/>
        <v>100</v>
      </c>
      <c r="X35" s="1390"/>
      <c r="Y35" s="4074"/>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'比较法案例（ppt）'!B13</f>
        <v>57037.940999999999</v>
      </c>
      <c r="F36" s="565">
        <f>LOOKUP(E36,109:109,110:110)-LOOKUP(C36,109:109,110:110)+100</f>
        <v>99</v>
      </c>
      <c r="G36" s="564">
        <f>新案例整理1024!G3</f>
        <v>63417.17</v>
      </c>
      <c r="H36" s="565">
        <f>LOOKUP(G36,109:109,110:110)-LOOKUP(C36,109:109,110:110)+100</f>
        <v>99</v>
      </c>
      <c r="I36" s="566">
        <f>新案例整理1024!G11</f>
        <v>4793.8500000000004</v>
      </c>
      <c r="J36" s="565">
        <f>LOOKUP(I36,109:109,110:110)-LOOKUP(C36,109:109,110:110)+100</f>
        <v>101</v>
      </c>
      <c r="K36" s="549"/>
      <c r="L36" s="1863"/>
      <c r="M36" s="1855"/>
      <c r="N36" s="1855"/>
      <c r="O36" s="1862"/>
      <c r="P36" s="4074"/>
      <c r="Q36" s="3837" t="str">
        <f>B36</f>
        <v>宗地面积</v>
      </c>
      <c r="R36" s="1384" t="s">
        <v>5</v>
      </c>
      <c r="S36" s="1385">
        <f t="shared" si="9"/>
        <v>99</v>
      </c>
      <c r="T36" s="1384" t="s">
        <v>5</v>
      </c>
      <c r="U36" s="1385">
        <f t="shared" si="10"/>
        <v>99</v>
      </c>
      <c r="V36" s="1384" t="s">
        <v>5</v>
      </c>
      <c r="W36" s="1385">
        <f t="shared" si="11"/>
        <v>101</v>
      </c>
      <c r="X36" s="3836"/>
      <c r="Y36" s="4074"/>
      <c r="Z36" s="3838" t="str">
        <f t="shared" si="12"/>
        <v>宗地面积</v>
      </c>
      <c r="AA36" s="3839">
        <f t="shared" si="3"/>
        <v>1.0101010101010102</v>
      </c>
      <c r="AB36" s="3839">
        <f t="shared" si="4"/>
        <v>1.0101010101010102</v>
      </c>
      <c r="AC36" s="3839">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3837" t="str">
        <f t="shared" ref="Q37:Q42" si="13">B37</f>
        <v>宗地形状</v>
      </c>
      <c r="R37" s="1384" t="s">
        <v>5</v>
      </c>
      <c r="S37" s="1385">
        <f t="shared" si="9"/>
        <v>100</v>
      </c>
      <c r="T37" s="1384" t="s">
        <v>5</v>
      </c>
      <c r="U37" s="1385">
        <f t="shared" si="10"/>
        <v>100</v>
      </c>
      <c r="V37" s="1384" t="s">
        <v>5</v>
      </c>
      <c r="W37" s="1385">
        <f t="shared" si="11"/>
        <v>100</v>
      </c>
      <c r="X37" s="3836"/>
      <c r="Y37" s="4074"/>
      <c r="Z37" s="3838" t="str">
        <f t="shared" si="12"/>
        <v>宗地形状</v>
      </c>
      <c r="AA37" s="3839">
        <f t="shared" si="3"/>
        <v>1</v>
      </c>
      <c r="AB37" s="3839">
        <f t="shared" si="4"/>
        <v>1</v>
      </c>
      <c r="AC37" s="3839">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74"/>
      <c r="Q38" s="3837" t="str">
        <f t="shared" si="13"/>
        <v>宗地开发程度</v>
      </c>
      <c r="R38" s="1379" t="s">
        <v>5</v>
      </c>
      <c r="S38" s="1380">
        <f t="shared" si="9"/>
        <v>100</v>
      </c>
      <c r="T38" s="1379" t="s">
        <v>5</v>
      </c>
      <c r="U38" s="1380">
        <f t="shared" si="10"/>
        <v>100</v>
      </c>
      <c r="V38" s="1379" t="s">
        <v>5</v>
      </c>
      <c r="W38" s="1380">
        <f t="shared" si="11"/>
        <v>100</v>
      </c>
      <c r="X38" s="1381"/>
      <c r="Y38" s="4074"/>
      <c r="Z38" s="3833"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499</v>
      </c>
      <c r="Q39" s="3837" t="str">
        <f t="shared" si="13"/>
        <v>工程地质条件</v>
      </c>
      <c r="R39" s="1384" t="s">
        <v>5</v>
      </c>
      <c r="S39" s="1385">
        <f t="shared" si="9"/>
        <v>100</v>
      </c>
      <c r="T39" s="1384" t="s">
        <v>5</v>
      </c>
      <c r="U39" s="1385">
        <f t="shared" si="10"/>
        <v>100</v>
      </c>
      <c r="V39" s="1384" t="s">
        <v>5</v>
      </c>
      <c r="W39" s="1385">
        <f t="shared" si="11"/>
        <v>100</v>
      </c>
      <c r="X39" s="3836"/>
      <c r="Y39" s="4074" t="s">
        <v>499</v>
      </c>
      <c r="Z39" s="3838" t="str">
        <f t="shared" si="12"/>
        <v>工程地质条件</v>
      </c>
      <c r="AA39" s="3839">
        <f t="shared" si="3"/>
        <v>1</v>
      </c>
      <c r="AB39" s="3839">
        <f t="shared" si="4"/>
        <v>1</v>
      </c>
      <c r="AC39" s="3839">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74"/>
      <c r="Q40" s="3837">
        <f t="shared" si="13"/>
        <v>111</v>
      </c>
      <c r="R40" s="1384" t="s">
        <v>5</v>
      </c>
      <c r="S40" s="1385">
        <f t="shared" si="9"/>
        <v>100</v>
      </c>
      <c r="T40" s="1384" t="s">
        <v>5</v>
      </c>
      <c r="U40" s="1385">
        <f t="shared" si="10"/>
        <v>100</v>
      </c>
      <c r="V40" s="1384" t="s">
        <v>5</v>
      </c>
      <c r="W40" s="1385">
        <f t="shared" si="11"/>
        <v>100</v>
      </c>
      <c r="X40" s="3836"/>
      <c r="Y40" s="4074"/>
      <c r="Z40" s="3838">
        <f t="shared" si="12"/>
        <v>111</v>
      </c>
      <c r="AA40" s="3839">
        <f t="shared" si="3"/>
        <v>1</v>
      </c>
      <c r="AB40" s="3839">
        <f t="shared" si="4"/>
        <v>1</v>
      </c>
      <c r="AC40" s="3839">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3837">
        <f t="shared" si="13"/>
        <v>111</v>
      </c>
      <c r="R41" s="1384" t="s">
        <v>5</v>
      </c>
      <c r="S41" s="1385">
        <f t="shared" si="9"/>
        <v>100</v>
      </c>
      <c r="T41" s="1384" t="s">
        <v>5</v>
      </c>
      <c r="U41" s="1385">
        <f t="shared" si="10"/>
        <v>100</v>
      </c>
      <c r="V41" s="1384" t="s">
        <v>5</v>
      </c>
      <c r="W41" s="1385">
        <f t="shared" si="11"/>
        <v>100</v>
      </c>
      <c r="X41" s="3836"/>
      <c r="Y41" s="4074"/>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3837">
        <f t="shared" si="13"/>
        <v>111</v>
      </c>
      <c r="R42" s="1388" t="s">
        <v>5</v>
      </c>
      <c r="S42" s="1389">
        <f t="shared" si="9"/>
        <v>100</v>
      </c>
      <c r="T42" s="1388" t="s">
        <v>5</v>
      </c>
      <c r="U42" s="1389">
        <f t="shared" si="10"/>
        <v>100</v>
      </c>
      <c r="V42" s="1388" t="s">
        <v>5</v>
      </c>
      <c r="W42" s="1389">
        <f t="shared" si="11"/>
        <v>100</v>
      </c>
      <c r="X42" s="1390"/>
      <c r="Y42" s="4074"/>
      <c r="Z42" s="1391">
        <f t="shared" si="12"/>
        <v>111</v>
      </c>
      <c r="AA42" s="3839">
        <f t="shared" si="3"/>
        <v>1</v>
      </c>
      <c r="AB42" s="3839">
        <f t="shared" si="4"/>
        <v>1</v>
      </c>
      <c r="AC42" s="3839">
        <f t="shared" si="5"/>
        <v>1</v>
      </c>
    </row>
    <row r="43" spans="1:29" ht="15">
      <c r="A43" s="575" t="s">
        <v>505</v>
      </c>
      <c r="B43" s="576" t="s">
        <v>2195</v>
      </c>
      <c r="C43" s="577" t="s">
        <v>0</v>
      </c>
      <c r="D43" s="578"/>
      <c r="E43" s="579">
        <f>'比较法案例（ppt）'!B16</f>
        <v>4319</v>
      </c>
      <c r="F43" s="580"/>
      <c r="G43" s="581">
        <f>新案例整理1024!K3</f>
        <v>4319</v>
      </c>
      <c r="H43" s="582"/>
      <c r="I43" s="579">
        <f>新案例整理1024!K11</f>
        <v>3650</v>
      </c>
      <c r="J43" s="582"/>
      <c r="K43" s="1199"/>
      <c r="L43" s="1865"/>
      <c r="M43" s="1855"/>
      <c r="N43" s="1855"/>
      <c r="O43" s="1866"/>
      <c r="P43" s="4069" t="str">
        <f>A43</f>
        <v>成交单价</v>
      </c>
      <c r="Q43" s="4069"/>
      <c r="R43" s="4085">
        <f>E43</f>
        <v>4319</v>
      </c>
      <c r="S43" s="4085"/>
      <c r="T43" s="4085">
        <f>G43</f>
        <v>4319</v>
      </c>
      <c r="U43" s="4085"/>
      <c r="V43" s="4085">
        <f>I43</f>
        <v>3650</v>
      </c>
      <c r="W43" s="4085"/>
      <c r="X43" s="1373"/>
      <c r="Y43" s="1392"/>
      <c r="Z43" s="1373"/>
      <c r="AA43" s="1373"/>
      <c r="AB43" s="1373"/>
      <c r="AC43" s="1373"/>
    </row>
    <row r="44" spans="1:29" ht="15.75" thickBot="1">
      <c r="A44" s="583" t="s">
        <v>1975</v>
      </c>
      <c r="B44" s="584"/>
      <c r="C44" s="585">
        <f>R45</f>
        <v>4686</v>
      </c>
      <c r="D44" s="2755" t="s">
        <v>2259</v>
      </c>
      <c r="E44" s="585">
        <f>R44</f>
        <v>4882</v>
      </c>
      <c r="F44" s="2756"/>
      <c r="G44" s="586">
        <f>T44</f>
        <v>4882</v>
      </c>
      <c r="H44" s="2756"/>
      <c r="I44" s="585">
        <f>V44</f>
        <v>4293</v>
      </c>
      <c r="J44" s="2756"/>
      <c r="K44" s="2757">
        <f>F44+H44+J44</f>
        <v>0</v>
      </c>
      <c r="L44" s="1865"/>
      <c r="M44" s="1855"/>
      <c r="N44" s="1855"/>
      <c r="O44" s="1866"/>
      <c r="P44" s="4069" t="str">
        <f>A44</f>
        <v>比较价格（元/平方米）</v>
      </c>
      <c r="Q44" s="4069"/>
      <c r="R44" s="4093">
        <f>ROUND(PRODUCT(R43,AA9:AA42),0)</f>
        <v>4882</v>
      </c>
      <c r="S44" s="4093"/>
      <c r="T44" s="4093">
        <f>ROUND(PRODUCT(T43,AB9:AB42),0)</f>
        <v>4882</v>
      </c>
      <c r="U44" s="4093"/>
      <c r="V44" s="4093">
        <f>ROUND(PRODUCT(V43,AC9:AC42),0)</f>
        <v>4293</v>
      </c>
      <c r="W44" s="4093"/>
      <c r="X44" s="1373"/>
      <c r="Y44" s="1373"/>
      <c r="Z44" s="1373"/>
      <c r="AA44" s="1373"/>
      <c r="AB44" s="1373"/>
      <c r="AC44" s="1373"/>
    </row>
    <row r="45" spans="1:29" ht="15.75" thickBot="1">
      <c r="A45" s="587" t="s">
        <v>2196</v>
      </c>
      <c r="B45" s="588"/>
      <c r="C45" s="589">
        <f>R45</f>
        <v>4686</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4686</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0.13035424866867329</v>
      </c>
      <c r="F48" s="593" t="str">
        <f>IF(OR(E48&gt;=0.3,E48&lt;=-0.3),"超过30%","")</f>
        <v/>
      </c>
      <c r="G48" s="592">
        <f>IF(G43&lt;G44,G44/G43-1,G43/G44-1)</f>
        <v>0.13035424866867329</v>
      </c>
      <c r="H48" s="593" t="str">
        <f>IF(OR(G48&gt;=0.3,G48&lt;=-0.3),"超过30%","")</f>
        <v/>
      </c>
      <c r="I48" s="592">
        <f>IF(I43&lt;I44,I44/I43-1,I43/I44-1)</f>
        <v>0.17616438356164377</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v>
      </c>
      <c r="F49" s="593" t="str">
        <f>IF(OR(E49&gt;=0.2,E49&lt;=-0.2),"超过20%","")</f>
        <v/>
      </c>
      <c r="G49" s="592">
        <f>IF(G44&lt;I44,I44/G44-1,G44/I44-1)</f>
        <v>0.13720009317493598</v>
      </c>
      <c r="H49" s="593" t="str">
        <f>IF(OR(G49&gt;=0.2,G49&lt;=-0.2),"超过20%","")</f>
        <v/>
      </c>
      <c r="I49" s="592">
        <f>IF(I44&lt;E44,E44/I44-1,I44/E44-1)</f>
        <v>0.13720009317493598</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v>
      </c>
      <c r="F50" s="593" t="str">
        <f>IF(OR(E50&gt;=0.3,E50&lt;=-0.3),"超过30%","")</f>
        <v/>
      </c>
      <c r="G50" s="592">
        <f>IF(G43&lt;I43,I43/G43-1,G43/I43-1)</f>
        <v>0.18328767123287681</v>
      </c>
      <c r="H50" s="593" t="str">
        <f>IF(OR(G50&gt;=0.3,G50&lt;=-0.3),"超过30%","")</f>
        <v/>
      </c>
      <c r="I50" s="592">
        <f>IF(I43&lt;E43,E43/I43-1,I43/E43-1)</f>
        <v>0.18328767123287681</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4686</v>
      </c>
      <c r="C53" s="601">
        <v>1</v>
      </c>
      <c r="D53" s="1945">
        <v>1</v>
      </c>
      <c r="E53" s="601">
        <f>'数据-汇总表'!E8+'数据-汇总表'!E9</f>
        <v>22121.8</v>
      </c>
      <c r="F53" s="1704">
        <f t="shared" ref="F53:F61" si="14">ROUND(B53*E53/10000,0)</f>
        <v>10366</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10366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t="s">
        <v>3891</v>
      </c>
      <c r="W66" s="1881" t="s">
        <v>3892</v>
      </c>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696">
        <f t="shared" ref="V67" si="20">ROUND(U67/(1+V68/100),2)</f>
        <v>85.65</v>
      </c>
      <c r="W67" s="696">
        <f t="shared" ref="W67" si="21">ROUND(V67/(1+W68/100),2)</f>
        <v>84.19</v>
      </c>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3814">
        <v>1.29</v>
      </c>
      <c r="W68" s="3813">
        <v>1.74</v>
      </c>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2">D76&amp;"（含）"&amp;"-"&amp;E76</f>
        <v>1（含）-</v>
      </c>
      <c r="E75" s="648" t="str">
        <f t="shared" si="22"/>
        <v>（含）-</v>
      </c>
      <c r="F75" s="648" t="str">
        <f t="shared" si="22"/>
        <v>（含）-</v>
      </c>
      <c r="G75" s="648" t="str">
        <f t="shared" si="22"/>
        <v>（含）-</v>
      </c>
      <c r="H75" s="648" t="str">
        <f t="shared" si="22"/>
        <v>（含）-</v>
      </c>
      <c r="I75" s="648" t="str">
        <f t="shared" si="22"/>
        <v>（含）-</v>
      </c>
      <c r="J75" s="648" t="str">
        <f t="shared" si="22"/>
        <v>（含）-</v>
      </c>
      <c r="K75" s="648" t="str">
        <f t="shared" si="22"/>
        <v>（含）-</v>
      </c>
      <c r="L75" s="648" t="str">
        <f t="shared" si="22"/>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3">IF($B$43="单位面积地价",C77+$K13,C77-$K13)</f>
        <v>100</v>
      </c>
      <c r="E77" s="645">
        <f t="shared" si="23"/>
        <v>100</v>
      </c>
      <c r="F77" s="645">
        <f t="shared" si="23"/>
        <v>100</v>
      </c>
      <c r="G77" s="645">
        <f t="shared" si="23"/>
        <v>100</v>
      </c>
      <c r="H77" s="645">
        <f t="shared" si="23"/>
        <v>100</v>
      </c>
      <c r="I77" s="645">
        <f t="shared" si="23"/>
        <v>100</v>
      </c>
      <c r="J77" s="645">
        <f t="shared" si="23"/>
        <v>100</v>
      </c>
      <c r="K77" s="645">
        <f t="shared" si="23"/>
        <v>100</v>
      </c>
      <c r="L77" s="645">
        <f t="shared" si="23"/>
        <v>100</v>
      </c>
      <c r="M77" s="645">
        <f t="shared" si="23"/>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4">C97-$K29</f>
        <v>100</v>
      </c>
      <c r="E97" s="645">
        <f t="shared" si="24"/>
        <v>100</v>
      </c>
      <c r="F97" s="645">
        <f t="shared" si="24"/>
        <v>100</v>
      </c>
      <c r="G97" s="645">
        <f t="shared" si="24"/>
        <v>100</v>
      </c>
      <c r="H97" s="645">
        <f t="shared" si="24"/>
        <v>100</v>
      </c>
      <c r="I97" s="645">
        <f t="shared" si="24"/>
        <v>100</v>
      </c>
      <c r="J97" s="645">
        <f t="shared" si="24"/>
        <v>100</v>
      </c>
      <c r="K97" s="645">
        <f t="shared" si="24"/>
        <v>100</v>
      </c>
      <c r="L97" s="645">
        <f t="shared" si="24"/>
        <v>100</v>
      </c>
      <c r="M97" s="645">
        <f t="shared" si="24"/>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5">C99-$K30</f>
        <v>100</v>
      </c>
      <c r="E99" s="645">
        <f t="shared" si="25"/>
        <v>100</v>
      </c>
      <c r="F99" s="645">
        <f t="shared" si="25"/>
        <v>100</v>
      </c>
      <c r="G99" s="645">
        <f t="shared" si="25"/>
        <v>100</v>
      </c>
      <c r="H99" s="645">
        <f t="shared" si="25"/>
        <v>100</v>
      </c>
      <c r="I99" s="645">
        <f t="shared" si="25"/>
        <v>100</v>
      </c>
      <c r="J99" s="645">
        <f t="shared" si="25"/>
        <v>100</v>
      </c>
      <c r="K99" s="645">
        <f t="shared" si="25"/>
        <v>100</v>
      </c>
      <c r="L99" s="645">
        <f t="shared" si="25"/>
        <v>100</v>
      </c>
      <c r="M99" s="645">
        <f t="shared" si="25"/>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6">C101-$K32</f>
        <v>98.5</v>
      </c>
      <c r="E101" s="645">
        <f t="shared" si="26"/>
        <v>97</v>
      </c>
      <c r="F101" s="645">
        <f t="shared" si="26"/>
        <v>95.5</v>
      </c>
      <c r="G101" s="645">
        <f t="shared" si="26"/>
        <v>94</v>
      </c>
      <c r="H101" s="645">
        <f t="shared" si="26"/>
        <v>92.5</v>
      </c>
      <c r="I101" s="645">
        <f t="shared" si="26"/>
        <v>91</v>
      </c>
      <c r="J101" s="645">
        <f t="shared" si="26"/>
        <v>89.5</v>
      </c>
      <c r="K101" s="645">
        <f t="shared" si="26"/>
        <v>88</v>
      </c>
      <c r="L101" s="645">
        <f t="shared" si="26"/>
        <v>86.5</v>
      </c>
      <c r="M101" s="645">
        <f t="shared" si="26"/>
        <v>85</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7">C109&amp;"(含)"&amp;"-"&amp;D109</f>
        <v>0(含)-20000</v>
      </c>
      <c r="D108" s="670" t="str">
        <f t="shared" si="27"/>
        <v>20000(含)-50000</v>
      </c>
      <c r="E108" s="670" t="str">
        <f t="shared" si="27"/>
        <v>50000(含)-</v>
      </c>
      <c r="F108" s="670" t="str">
        <f t="shared" si="27"/>
        <v>(含)-</v>
      </c>
      <c r="G108" s="670" t="str">
        <f t="shared" si="27"/>
        <v>(含)-</v>
      </c>
      <c r="H108" s="670" t="str">
        <f t="shared" si="27"/>
        <v>(含)-</v>
      </c>
      <c r="I108" s="670" t="str">
        <f t="shared" si="27"/>
        <v>(含)-</v>
      </c>
      <c r="J108" s="670" t="str">
        <f t="shared" si="27"/>
        <v>(含)-</v>
      </c>
      <c r="K108" s="2535" t="str">
        <f t="shared" si="27"/>
        <v>(含)-</v>
      </c>
      <c r="L108" s="2536" t="str">
        <f t="shared" si="27"/>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f>
        <v>99</v>
      </c>
      <c r="E110" s="692">
        <f>D110-1</f>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8">C112-$K37</f>
        <v>100</v>
      </c>
      <c r="E112" s="645">
        <f t="shared" si="28"/>
        <v>100</v>
      </c>
      <c r="F112" s="645">
        <f t="shared" si="28"/>
        <v>100</v>
      </c>
      <c r="G112" s="645">
        <f t="shared" si="28"/>
        <v>100</v>
      </c>
      <c r="H112" s="645">
        <f t="shared" si="28"/>
        <v>100</v>
      </c>
      <c r="I112" s="645">
        <f t="shared" si="28"/>
        <v>100</v>
      </c>
      <c r="J112" s="645">
        <f t="shared" si="28"/>
        <v>100</v>
      </c>
      <c r="K112" s="645">
        <f t="shared" si="28"/>
        <v>100</v>
      </c>
      <c r="L112" s="645">
        <f t="shared" si="28"/>
        <v>100</v>
      </c>
      <c r="M112" s="646">
        <f t="shared" si="28"/>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9">C114-$K38</f>
        <v>98</v>
      </c>
      <c r="E114" s="645">
        <f t="shared" si="29"/>
        <v>96</v>
      </c>
      <c r="F114" s="645">
        <f t="shared" si="29"/>
        <v>94</v>
      </c>
      <c r="G114" s="645">
        <f t="shared" si="29"/>
        <v>92</v>
      </c>
      <c r="H114" s="645">
        <f t="shared" si="29"/>
        <v>90</v>
      </c>
      <c r="I114" s="645">
        <f t="shared" si="29"/>
        <v>88</v>
      </c>
      <c r="J114" s="645">
        <f t="shared" si="29"/>
        <v>86</v>
      </c>
      <c r="K114" s="645">
        <f t="shared" si="29"/>
        <v>84</v>
      </c>
      <c r="L114" s="645">
        <f t="shared" si="29"/>
        <v>82</v>
      </c>
      <c r="M114" s="646">
        <f t="shared" si="29"/>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30">C116-$K39</f>
        <v>100</v>
      </c>
      <c r="E116" s="645">
        <f t="shared" si="30"/>
        <v>100</v>
      </c>
      <c r="F116" s="645">
        <f t="shared" si="30"/>
        <v>100</v>
      </c>
      <c r="G116" s="645">
        <f t="shared" si="30"/>
        <v>100</v>
      </c>
      <c r="H116" s="645">
        <f t="shared" si="30"/>
        <v>100</v>
      </c>
      <c r="I116" s="645">
        <f t="shared" si="30"/>
        <v>100</v>
      </c>
      <c r="J116" s="645">
        <f t="shared" si="30"/>
        <v>100</v>
      </c>
      <c r="K116" s="645">
        <f t="shared" si="30"/>
        <v>100</v>
      </c>
      <c r="L116" s="645">
        <f t="shared" si="30"/>
        <v>100</v>
      </c>
      <c r="M116" s="646">
        <f t="shared" si="30"/>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61" priority="17" stopIfTrue="1" operator="containsText" text="超过">
      <formula>NOT(ISERROR(SEARCH("超过",F48)))</formula>
    </cfRule>
  </conditionalFormatting>
  <conditionalFormatting sqref="J50">
    <cfRule type="containsText" dxfId="160" priority="16" stopIfTrue="1" operator="containsText" text="超过">
      <formula>NOT(ISERROR(SEARCH("超过",J50)))</formula>
    </cfRule>
  </conditionalFormatting>
  <conditionalFormatting sqref="H50">
    <cfRule type="containsText" dxfId="159" priority="15" stopIfTrue="1" operator="containsText" text="超过">
      <formula>NOT(ISERROR(SEARCH("超过",H50)))</formula>
    </cfRule>
  </conditionalFormatting>
  <conditionalFormatting sqref="F50">
    <cfRule type="containsText" dxfId="158" priority="14" stopIfTrue="1" operator="containsText" text="超过">
      <formula>NOT(ISERROR(SEARCH("超过",F50)))</formula>
    </cfRule>
  </conditionalFormatting>
  <conditionalFormatting sqref="F49 H49 J49">
    <cfRule type="containsText" dxfId="157" priority="13" stopIfTrue="1" operator="containsText" text="超过">
      <formula>NOT(ISERROR(SEARCH("超过",F49)))</formula>
    </cfRule>
  </conditionalFormatting>
  <conditionalFormatting sqref="E48">
    <cfRule type="expression" dxfId="156" priority="12" stopIfTrue="1">
      <formula>$F$48="超过30%"</formula>
    </cfRule>
  </conditionalFormatting>
  <conditionalFormatting sqref="G50">
    <cfRule type="expression" dxfId="155" priority="11" stopIfTrue="1">
      <formula>$H$50="超过30%"</formula>
    </cfRule>
  </conditionalFormatting>
  <conditionalFormatting sqref="E50">
    <cfRule type="expression" dxfId="154" priority="10" stopIfTrue="1">
      <formula>$F$50="超过30%"</formula>
    </cfRule>
  </conditionalFormatting>
  <conditionalFormatting sqref="G48">
    <cfRule type="expression" dxfId="153" priority="9" stopIfTrue="1">
      <formula>$H$48="超过30%"</formula>
    </cfRule>
  </conditionalFormatting>
  <conditionalFormatting sqref="G49">
    <cfRule type="expression" dxfId="152" priority="8" stopIfTrue="1">
      <formula>$H$49="超过20%"</formula>
    </cfRule>
  </conditionalFormatting>
  <conditionalFormatting sqref="I48">
    <cfRule type="expression" dxfId="151" priority="7" stopIfTrue="1">
      <formula>$J$48="超过30%"</formula>
    </cfRule>
  </conditionalFormatting>
  <conditionalFormatting sqref="I49">
    <cfRule type="expression" dxfId="150" priority="6" stopIfTrue="1">
      <formula>$J$49="超过20%"</formula>
    </cfRule>
  </conditionalFormatting>
  <conditionalFormatting sqref="I50">
    <cfRule type="expression" dxfId="149" priority="5" stopIfTrue="1">
      <formula>$J$50="超过30%"</formula>
    </cfRule>
  </conditionalFormatting>
  <conditionalFormatting sqref="E49">
    <cfRule type="expression" dxfId="148" priority="18" stopIfTrue="1">
      <formula>#REF!+$F$49="超过20%"</formula>
    </cfRule>
  </conditionalFormatting>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F9:F42 H9:H42 J9:J42">
    <cfRule type="cellIs" dxfId="144" priority="1" operator="notEqual">
      <formula>100</formula>
    </cfRule>
  </conditionalFormatting>
  <dataValidations count="20">
    <dataValidation type="list" allowBlank="1" showInputMessage="1" showErrorMessage="1" sqref="B43" xr:uid="{2905FC8E-D09E-40D2-BD5C-7297BC09573F}">
      <formula1>单价内涵</formula1>
    </dataValidation>
    <dataValidation type="list" allowBlank="1" showInputMessage="1" showErrorMessage="1" sqref="C24 E24 G24 I24" xr:uid="{97D54CBC-A49D-41B0-A1D5-227DE3F9117C}">
      <formula1>环境</formula1>
    </dataValidation>
    <dataValidation type="list" allowBlank="1" showInputMessage="1" showErrorMessage="1" sqref="E20 C20 G20 I20" xr:uid="{0566D7A8-75F1-48EE-9EC7-BC1B18D051AE}">
      <formula1>交通便捷度</formula1>
    </dataValidation>
    <dataValidation type="list" allowBlank="1" showInputMessage="1" showErrorMessage="1" sqref="E26 C26 I26 G26" xr:uid="{F9017C1E-14C8-45EC-BB47-4AD7C784C004}">
      <formula1>公共配套设施</formula1>
    </dataValidation>
    <dataValidation type="list" allowBlank="1" showInputMessage="1" showErrorMessage="1" sqref="C10 E10 G10 I10" xr:uid="{33775745-7200-40AC-963D-CC2D742F59E6}">
      <formula1>套工交易情况</formula1>
    </dataValidation>
    <dataValidation type="list" allowBlank="1" showInputMessage="1" showErrorMessage="1" sqref="C11 E11 G11 I11" xr:uid="{D43E211F-3ABE-4A11-A2D9-216AF4FD5E53}">
      <formula1>套工用途</formula1>
    </dataValidation>
    <dataValidation type="list" allowBlank="1" showInputMessage="1" showErrorMessage="1" sqref="I32 E32 G32" xr:uid="{7F50A26A-7A00-4A1F-B85E-32271C2E6058}">
      <formula1>套工土地级别</formula1>
    </dataValidation>
    <dataValidation type="list" allowBlank="1" showInputMessage="1" showErrorMessage="1" sqref="C29 E29 G29 I29" xr:uid="{28237458-30FB-4A23-955F-FB72D56C99D4}">
      <formula1>临街状况</formula1>
    </dataValidation>
    <dataValidation type="list" allowBlank="1" showInputMessage="1" showErrorMessage="1" sqref="E22 C22 G22 I22" xr:uid="{D5D6FA32-0BDD-4564-A277-37C2C2F68820}">
      <formula1>区域土地利用方向</formula1>
    </dataValidation>
    <dataValidation type="list" allowBlank="1" showInputMessage="1" showErrorMessage="1" sqref="C52" xr:uid="{843A9171-7F63-458C-94A8-A553045CCB27}">
      <formula1>"北京市系数,其他省市系数"</formula1>
    </dataValidation>
    <dataValidation type="list" allowBlank="1" showInputMessage="1" showErrorMessage="1" sqref="G58" xr:uid="{33A8D93C-ABB0-4B88-9CF7-2D45912EA3B6}">
      <formula1>"商业,办公,住宅,工业"</formula1>
    </dataValidation>
    <dataValidation type="list" allowBlank="1" showInputMessage="1" showErrorMessage="1" sqref="G59" xr:uid="{5B794BB8-DAC5-423D-ACCC-95BCF2D9C089}">
      <formula1>"住宅,工业"</formula1>
    </dataValidation>
    <dataValidation type="list" allowBlank="1" showInputMessage="1" showErrorMessage="1" sqref="C18 E18 G18 I18" xr:uid="{77E65E32-C679-4753-BC2A-695CC538144B}">
      <formula1>产业集聚程度</formula1>
    </dataValidation>
    <dataValidation type="list" allowBlank="1" showInputMessage="1" showErrorMessage="1" sqref="C28 E28 G28 I28" xr:uid="{E6851E30-B6B8-4F83-99FB-8B8EC2BBE233}">
      <formula1>基础设施水平</formula1>
    </dataValidation>
    <dataValidation type="list" allowBlank="1" showInputMessage="1" showErrorMessage="1" sqref="C31 E31 G31 I31" xr:uid="{0D03C837-C932-4429-9C84-A452F758DC05}">
      <formula1>套工临街等级</formula1>
    </dataValidation>
    <dataValidation type="list" allowBlank="1" showInputMessage="1" showErrorMessage="1" sqref="C37 E37 G37 I37" xr:uid="{FF2E5EA7-76B0-49BA-B69C-16472E7B80FE}">
      <formula1>套工宗地形状</formula1>
    </dataValidation>
    <dataValidation type="list" allowBlank="1" showInputMessage="1" showErrorMessage="1" sqref="C38 E38 G38 I38" xr:uid="{7092DD6F-BD0F-48C7-8569-FC128A60A272}">
      <formula1>套工开发程度</formula1>
    </dataValidation>
    <dataValidation type="list" allowBlank="1" showInputMessage="1" showErrorMessage="1" sqref="C39 E39 G39 I39" xr:uid="{ADAFE9EF-92C8-4D01-A85B-1FEC4642C947}">
      <formula1>套工工程地质条件</formula1>
    </dataValidation>
    <dataValidation type="list" allowBlank="1" showInputMessage="1" showErrorMessage="1" sqref="D44" xr:uid="{1FA7FB97-27E9-4ADC-83D8-B2FC192D0E94}">
      <formula1>"简单平均,加权平均"</formula1>
    </dataValidation>
    <dataValidation type="list" allowBlank="1" showInputMessage="1" showErrorMessage="1" sqref="D54:D61" xr:uid="{288891C7-5600-4D9F-8F3B-81848F2EA90F}">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02C9-857D-480D-8C48-1AC880F8CC90}">
  <dimension ref="A1:Q19"/>
  <sheetViews>
    <sheetView workbookViewId="0">
      <selection activeCell="C11" sqref="C11"/>
    </sheetView>
  </sheetViews>
  <sheetFormatPr defaultRowHeight="13.5"/>
  <cols>
    <col min="1" max="1" width="6.25" style="1579" customWidth="1"/>
    <col min="2" max="2" width="26.875" style="1579" customWidth="1"/>
    <col min="3" max="3" width="28.875" style="1579" customWidth="1"/>
    <col min="4" max="4" width="13.5" style="1579" customWidth="1"/>
    <col min="5" max="5" width="9.25" style="1579" customWidth="1"/>
    <col min="6" max="7" width="9" style="1579"/>
    <col min="8" max="9" width="0" style="1579" hidden="1" customWidth="1"/>
    <col min="10" max="10" width="11.75" style="1579" hidden="1" customWidth="1"/>
    <col min="11" max="11" width="9" style="1579"/>
    <col min="12" max="12" width="20" style="1579" customWidth="1"/>
    <col min="13" max="13" width="17.5" customWidth="1"/>
    <col min="14" max="14" width="12.75" customWidth="1"/>
    <col min="15" max="15" width="13.875" style="3851" customWidth="1"/>
  </cols>
  <sheetData>
    <row r="1" spans="1:17">
      <c r="A1" s="3850" t="s">
        <v>3289</v>
      </c>
      <c r="B1" s="3850" t="s">
        <v>3824</v>
      </c>
      <c r="C1" s="3850" t="s">
        <v>3826</v>
      </c>
      <c r="D1" s="3850" t="s">
        <v>3825</v>
      </c>
      <c r="E1" s="3850" t="s">
        <v>3810</v>
      </c>
      <c r="F1" s="3850" t="s">
        <v>3812</v>
      </c>
      <c r="G1" s="3850" t="s">
        <v>2211</v>
      </c>
      <c r="H1" s="3850" t="s">
        <v>3830</v>
      </c>
      <c r="I1" s="3850" t="s">
        <v>3321</v>
      </c>
      <c r="J1" s="3850" t="s">
        <v>3756</v>
      </c>
      <c r="K1" s="3850" t="s">
        <v>3831</v>
      </c>
      <c r="L1" s="3850" t="s">
        <v>3834</v>
      </c>
      <c r="M1" s="3850" t="s">
        <v>3324</v>
      </c>
      <c r="N1" s="3850" t="s">
        <v>3857</v>
      </c>
      <c r="O1" s="3850" t="s">
        <v>3856</v>
      </c>
      <c r="Q1" s="3850" t="s">
        <v>3858</v>
      </c>
    </row>
    <row r="2" spans="1:17" s="3860" customFormat="1">
      <c r="A2" s="3857">
        <v>1</v>
      </c>
      <c r="B2" s="3858" t="s">
        <v>3817</v>
      </c>
      <c r="C2" s="3858" t="s">
        <v>3818</v>
      </c>
      <c r="D2" s="3857" t="s">
        <v>3261</v>
      </c>
      <c r="E2" s="3858" t="s">
        <v>3811</v>
      </c>
      <c r="F2" s="3857" t="s">
        <v>905</v>
      </c>
      <c r="G2" s="3857">
        <v>57037.940999999999</v>
      </c>
      <c r="H2" s="3857"/>
      <c r="I2" s="3858" t="s">
        <v>3356</v>
      </c>
      <c r="J2" s="3858"/>
      <c r="K2" s="3857">
        <v>4319</v>
      </c>
      <c r="L2" s="3859" t="s">
        <v>3850</v>
      </c>
      <c r="M2" s="3858" t="s">
        <v>3851</v>
      </c>
      <c r="N2" s="3858"/>
      <c r="O2" s="3857"/>
    </row>
    <row r="3" spans="1:17" s="3860" customFormat="1">
      <c r="A3" s="3857">
        <v>2</v>
      </c>
      <c r="B3" s="3858" t="s">
        <v>3817</v>
      </c>
      <c r="C3" s="3857" t="s">
        <v>3795</v>
      </c>
      <c r="D3" s="3857" t="s">
        <v>3261</v>
      </c>
      <c r="E3" s="3858" t="s">
        <v>3811</v>
      </c>
      <c r="F3" s="3857" t="s">
        <v>905</v>
      </c>
      <c r="G3" s="3857">
        <v>63417.17</v>
      </c>
      <c r="H3" s="3857"/>
      <c r="I3" s="3858" t="s">
        <v>3356</v>
      </c>
      <c r="J3" s="3858"/>
      <c r="K3" s="3857">
        <v>4319</v>
      </c>
      <c r="L3" s="3861">
        <v>43525</v>
      </c>
      <c r="M3" s="3858" t="s">
        <v>3827</v>
      </c>
      <c r="N3" s="3858"/>
      <c r="O3" s="3857"/>
    </row>
    <row r="4" spans="1:17" s="3706" customFormat="1">
      <c r="A4" s="3826">
        <v>3</v>
      </c>
      <c r="B4" s="3826" t="s">
        <v>3797</v>
      </c>
      <c r="C4" s="3826" t="s">
        <v>3796</v>
      </c>
      <c r="D4" s="3826" t="s">
        <v>3261</v>
      </c>
      <c r="E4" s="4219" t="s">
        <v>3811</v>
      </c>
      <c r="F4" s="3826" t="s">
        <v>905</v>
      </c>
      <c r="G4" s="3826">
        <v>3586.3</v>
      </c>
      <c r="H4" s="3826"/>
      <c r="I4" s="4219" t="s">
        <v>3816</v>
      </c>
      <c r="J4" s="4219"/>
      <c r="K4" s="3826">
        <v>4577</v>
      </c>
      <c r="L4" s="4220">
        <v>43983</v>
      </c>
      <c r="M4" s="4219" t="s">
        <v>3854</v>
      </c>
      <c r="N4" s="4219"/>
      <c r="O4" s="3826"/>
    </row>
    <row r="5" spans="1:17" s="3706" customFormat="1">
      <c r="A5" s="3826">
        <v>4</v>
      </c>
      <c r="B5" s="4219" t="s">
        <v>3833</v>
      </c>
      <c r="C5" s="4219" t="s">
        <v>3828</v>
      </c>
      <c r="D5" s="4219" t="s">
        <v>3832</v>
      </c>
      <c r="E5" s="4219" t="s">
        <v>3829</v>
      </c>
      <c r="F5" s="4219" t="s">
        <v>2721</v>
      </c>
      <c r="G5" s="3826">
        <v>101739</v>
      </c>
      <c r="H5" s="3826">
        <v>23898.42</v>
      </c>
      <c r="I5" s="3826"/>
      <c r="J5" s="3826">
        <v>42480.5</v>
      </c>
      <c r="K5" s="3826">
        <f>ROUND(J5/G5*10000,0)</f>
        <v>4175</v>
      </c>
      <c r="L5" s="4220">
        <v>44500</v>
      </c>
      <c r="M5" s="4219" t="s">
        <v>3855</v>
      </c>
      <c r="N5" s="4219"/>
      <c r="O5" s="3826"/>
    </row>
    <row r="6" spans="1:17">
      <c r="A6" s="3851">
        <v>5</v>
      </c>
      <c r="B6" s="3850" t="s">
        <v>3835</v>
      </c>
      <c r="C6" s="3850" t="s">
        <v>3836</v>
      </c>
      <c r="D6" s="3850" t="s">
        <v>3837</v>
      </c>
      <c r="E6" s="3850" t="s">
        <v>3849</v>
      </c>
      <c r="F6" s="3850" t="s">
        <v>2721</v>
      </c>
      <c r="G6" s="3851">
        <v>22881.07</v>
      </c>
      <c r="H6" s="3851"/>
      <c r="I6" s="3851"/>
      <c r="J6" s="3851">
        <v>18956.966499999999</v>
      </c>
      <c r="K6" s="3851">
        <f>ROUND(J6/G6*10000,0)</f>
        <v>8285</v>
      </c>
      <c r="L6" s="3854">
        <v>44887</v>
      </c>
      <c r="M6" s="3850" t="s">
        <v>3838</v>
      </c>
      <c r="N6" s="3850"/>
    </row>
    <row r="7" spans="1:17">
      <c r="A7" s="3851">
        <v>6</v>
      </c>
      <c r="B7" s="3855" t="s">
        <v>3839</v>
      </c>
      <c r="C7" s="3850" t="s">
        <v>3841</v>
      </c>
      <c r="D7" s="3850" t="s">
        <v>3837</v>
      </c>
      <c r="E7" s="3850" t="s">
        <v>3829</v>
      </c>
      <c r="F7" s="3850" t="s">
        <v>3843</v>
      </c>
      <c r="G7" s="3851">
        <v>1474.95</v>
      </c>
      <c r="H7" s="3851"/>
      <c r="I7" s="3851"/>
      <c r="J7" s="3851"/>
      <c r="K7" s="3851">
        <v>3642</v>
      </c>
      <c r="L7" s="3854">
        <v>44453</v>
      </c>
      <c r="M7" s="3850" t="s">
        <v>3844</v>
      </c>
      <c r="N7" s="3856">
        <v>56815</v>
      </c>
      <c r="O7" s="3850">
        <v>31.89</v>
      </c>
      <c r="P7">
        <f>K7/Q7</f>
        <v>4213.3271633503009</v>
      </c>
      <c r="Q7">
        <v>0.86439999999999995</v>
      </c>
    </row>
    <row r="8" spans="1:17" s="3832" customFormat="1">
      <c r="A8" s="3831">
        <v>7</v>
      </c>
      <c r="B8" s="3862" t="s">
        <v>3840</v>
      </c>
      <c r="C8" s="3862" t="s">
        <v>3842</v>
      </c>
      <c r="D8" s="3862" t="s">
        <v>3837</v>
      </c>
      <c r="E8" s="3862" t="s">
        <v>3829</v>
      </c>
      <c r="F8" s="3862" t="s">
        <v>2721</v>
      </c>
      <c r="G8" s="3831">
        <v>5602.96</v>
      </c>
      <c r="H8" s="3831"/>
      <c r="I8" s="3831"/>
      <c r="J8" s="3831"/>
      <c r="K8" s="3831">
        <v>3303</v>
      </c>
      <c r="L8" s="3863">
        <v>44453</v>
      </c>
      <c r="M8" s="3862" t="s">
        <v>3844</v>
      </c>
      <c r="N8" s="3864">
        <v>55794</v>
      </c>
      <c r="O8" s="3831">
        <v>29.09</v>
      </c>
      <c r="Q8" s="3866" t="s">
        <v>3816</v>
      </c>
    </row>
    <row r="9" spans="1:17" s="3832" customFormat="1">
      <c r="A9" s="3831">
        <v>8</v>
      </c>
      <c r="B9" s="3862" t="s">
        <v>3847</v>
      </c>
      <c r="C9" s="3862" t="s">
        <v>3845</v>
      </c>
      <c r="D9" s="3862" t="s">
        <v>3837</v>
      </c>
      <c r="E9" s="3862" t="s">
        <v>3829</v>
      </c>
      <c r="F9" s="3862" t="s">
        <v>2721</v>
      </c>
      <c r="G9" s="3831">
        <v>43710.55</v>
      </c>
      <c r="H9" s="3831"/>
      <c r="I9" s="3831"/>
      <c r="J9" s="3831"/>
      <c r="K9" s="3831">
        <v>4779</v>
      </c>
      <c r="L9" s="3863">
        <v>43514</v>
      </c>
      <c r="M9" s="3862" t="s">
        <v>3844</v>
      </c>
      <c r="N9" s="3865">
        <v>55774</v>
      </c>
      <c r="O9" s="3831">
        <v>29.04</v>
      </c>
      <c r="P9" s="3832">
        <v>33.58</v>
      </c>
    </row>
    <row r="10" spans="1:17" s="3832" customFormat="1">
      <c r="A10" s="3831">
        <v>9</v>
      </c>
      <c r="B10" s="3862" t="s">
        <v>3848</v>
      </c>
      <c r="C10" s="3862" t="s">
        <v>3846</v>
      </c>
      <c r="D10" s="3862" t="s">
        <v>3837</v>
      </c>
      <c r="E10" s="3862" t="s">
        <v>3829</v>
      </c>
      <c r="F10" s="3862" t="s">
        <v>2721</v>
      </c>
      <c r="G10" s="3831">
        <v>3410</v>
      </c>
      <c r="H10" s="3831"/>
      <c r="I10" s="3831"/>
      <c r="J10" s="3831"/>
      <c r="K10" s="3831">
        <v>4367</v>
      </c>
      <c r="L10" s="3863">
        <v>43514</v>
      </c>
      <c r="M10" s="3862" t="s">
        <v>3844</v>
      </c>
      <c r="N10" s="3865">
        <v>53243</v>
      </c>
      <c r="O10" s="3831">
        <v>22.1</v>
      </c>
      <c r="P10" s="3832">
        <v>26.65</v>
      </c>
    </row>
    <row r="11" spans="1:17" s="3860" customFormat="1">
      <c r="A11" s="3857">
        <v>10</v>
      </c>
      <c r="B11" s="3858" t="s">
        <v>3886</v>
      </c>
      <c r="C11" s="3858" t="s">
        <v>3887</v>
      </c>
      <c r="D11" s="3858" t="s">
        <v>3888</v>
      </c>
      <c r="E11" s="3858" t="s">
        <v>3893</v>
      </c>
      <c r="F11" s="3858" t="s">
        <v>3889</v>
      </c>
      <c r="G11" s="3857">
        <v>4793.8500000000004</v>
      </c>
      <c r="H11" s="3857"/>
      <c r="I11" s="3857"/>
      <c r="J11" s="3857"/>
      <c r="K11" s="3857">
        <f>ROUND(17497600/G11,0)</f>
        <v>3650</v>
      </c>
      <c r="L11" s="3861">
        <v>43368</v>
      </c>
      <c r="M11" s="3858" t="s">
        <v>3890</v>
      </c>
      <c r="O11" s="3861">
        <v>45173</v>
      </c>
    </row>
    <row r="12" spans="1:17">
      <c r="A12" s="3851"/>
      <c r="B12" s="3851"/>
      <c r="C12" s="3851"/>
      <c r="D12" s="3851"/>
      <c r="E12" s="3851"/>
      <c r="F12" s="3851"/>
      <c r="G12" s="3851"/>
      <c r="H12" s="3851"/>
      <c r="I12" s="3851"/>
      <c r="J12" s="3851"/>
      <c r="K12" s="3851"/>
      <c r="L12" s="3851"/>
    </row>
    <row r="13" spans="1:17">
      <c r="A13" s="3851"/>
      <c r="B13" s="3851"/>
      <c r="C13" s="3851"/>
      <c r="D13" s="3851"/>
      <c r="E13" s="3851"/>
      <c r="F13" s="3851"/>
      <c r="G13" s="3851"/>
      <c r="H13" s="3851"/>
      <c r="I13" s="3851"/>
      <c r="J13" s="3851"/>
      <c r="K13" s="3851"/>
      <c r="L13" s="3851"/>
    </row>
    <row r="14" spans="1:17">
      <c r="A14" s="3851"/>
      <c r="B14" s="3851"/>
      <c r="C14" s="3851"/>
      <c r="D14" s="3851"/>
      <c r="E14" s="3851"/>
      <c r="F14" s="3851"/>
      <c r="G14" s="3851"/>
      <c r="H14" s="3851"/>
      <c r="I14" s="3851"/>
      <c r="J14" s="3851"/>
      <c r="K14" s="3851"/>
      <c r="L14" s="3851"/>
    </row>
    <row r="15" spans="1:17">
      <c r="A15" s="3851"/>
      <c r="B15" s="3851"/>
      <c r="C15" s="3851"/>
      <c r="D15" s="3851"/>
      <c r="E15" s="3851"/>
      <c r="F15" s="3851"/>
      <c r="G15" s="3851"/>
      <c r="H15" s="3851"/>
      <c r="I15" s="3851"/>
      <c r="J15" s="3851"/>
      <c r="K15" s="3851"/>
      <c r="L15" s="3851"/>
    </row>
    <row r="16" spans="1:17">
      <c r="A16" s="3851"/>
      <c r="B16" s="3851"/>
      <c r="C16" s="3851"/>
      <c r="D16" s="3851"/>
      <c r="E16" s="3851"/>
      <c r="F16" s="3851"/>
      <c r="G16" s="3851"/>
      <c r="H16" s="3851"/>
      <c r="I16" s="3851"/>
      <c r="J16" s="3851"/>
      <c r="K16" s="3851"/>
      <c r="L16" s="3851"/>
    </row>
    <row r="17" spans="1:12">
      <c r="A17" s="3851"/>
      <c r="B17" s="3851"/>
      <c r="C17" s="3851"/>
      <c r="D17" s="3851"/>
      <c r="E17" s="3851"/>
      <c r="F17" s="3851"/>
      <c r="G17" s="3851"/>
      <c r="H17" s="3851"/>
      <c r="I17" s="3851"/>
      <c r="J17" s="3851"/>
      <c r="K17" s="3851"/>
      <c r="L17" s="3851"/>
    </row>
    <row r="18" spans="1:12">
      <c r="A18" s="3851"/>
      <c r="B18" s="3851"/>
      <c r="C18" s="3851"/>
      <c r="D18" s="3851"/>
      <c r="E18" s="3851"/>
      <c r="F18" s="3851"/>
      <c r="G18" s="3851"/>
      <c r="H18" s="3851"/>
      <c r="I18" s="3851"/>
      <c r="J18" s="3851"/>
      <c r="K18" s="3851"/>
      <c r="L18" s="3851"/>
    </row>
    <row r="19" spans="1:12">
      <c r="A19" s="3851"/>
      <c r="B19" s="3851"/>
      <c r="C19" s="3851"/>
      <c r="D19" s="3851"/>
      <c r="E19" s="3851"/>
      <c r="F19" s="3851"/>
      <c r="G19" s="3851"/>
      <c r="H19" s="3851"/>
      <c r="I19" s="3851"/>
      <c r="J19" s="3851"/>
      <c r="K19" s="3851"/>
      <c r="L19" s="3851"/>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3BCF-95EA-4220-B5D8-AF568AF7CD65}">
  <sheetPr>
    <tabColor rgb="FF92D050"/>
    <pageSetUpPr fitToPage="1"/>
  </sheetPr>
  <dimension ref="A1:Y63"/>
  <sheetViews>
    <sheetView view="pageBreakPreview" zoomScale="90" zoomScaleNormal="80" zoomScaleSheetLayoutView="90" workbookViewId="0">
      <selection activeCell="C8" sqref="C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6982.4458000000004</v>
      </c>
      <c r="C2" s="3005"/>
      <c r="D2" s="3005"/>
      <c r="E2" s="3005"/>
      <c r="F2" s="3005"/>
      <c r="G2" s="3005"/>
    </row>
    <row r="3" spans="1:25" s="1781" customFormat="1" ht="18" customHeight="1">
      <c r="A3" s="1235" t="s">
        <v>1217</v>
      </c>
      <c r="B3" s="412">
        <f>ROUND(B2*10000/'数据-汇总表'!E3,0)</f>
        <v>3156</v>
      </c>
      <c r="C3" s="3005"/>
      <c r="D3" s="3005"/>
      <c r="E3" s="3005"/>
      <c r="F3" s="3005"/>
      <c r="G3" s="3005"/>
    </row>
    <row r="4" spans="1:25" s="1781" customFormat="1" ht="18" customHeight="1">
      <c r="A4" s="413" t="s">
        <v>428</v>
      </c>
      <c r="B4" s="414">
        <f>ROUND(B2*10000/'数据-汇总表'!D3,0)</f>
        <v>3156</v>
      </c>
      <c r="C4" s="2959"/>
      <c r="D4" s="3005"/>
      <c r="E4" s="3005"/>
      <c r="F4" s="3005"/>
      <c r="G4" s="3005"/>
    </row>
    <row r="5" spans="1:25" s="1781" customFormat="1" ht="18" customHeight="1" thickBot="1">
      <c r="A5" s="416"/>
      <c r="B5" s="417">
        <f>ROUND(B2/('数据-汇总表'!D3/666.67),0)</f>
        <v>210</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5448.5992999999999</v>
      </c>
      <c r="D7" s="714"/>
      <c r="E7" s="715"/>
      <c r="F7" s="715"/>
      <c r="G7" s="2126" t="s">
        <v>3302</v>
      </c>
    </row>
    <row r="8" spans="1:25" s="1903" customFormat="1" ht="13.5" customHeight="1">
      <c r="A8" s="2117" t="s">
        <v>1786</v>
      </c>
      <c r="B8" s="2120" t="s">
        <v>1788</v>
      </c>
      <c r="C8" s="3705">
        <f>ROUND(D8*E8/10000,4)</f>
        <v>5448.5992999999999</v>
      </c>
      <c r="D8" s="3008">
        <f>'数据-基础表'!A3</f>
        <v>22121.8</v>
      </c>
      <c r="E8" s="3009">
        <f>'比较法-成本 (搭配划拨)'!C45</f>
        <v>2463</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245.9153</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878.67790000000002</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6982.4457999999995</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6982.4457999999995</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6982.4458000000004</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6982.4458000000004</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224" type="noConversion"/>
  <dataValidations count="1">
    <dataValidation type="list" allowBlank="1" showInputMessage="1" showErrorMessage="1" sqref="G7" xr:uid="{E71B0298-30CA-47EE-BB45-7308F3B0C40B}">
      <formula1>"土地开发补偿费,征收补偿安置费"</formula1>
    </dataValidation>
  </dataValidations>
  <pageMargins left="0.7" right="0.7" top="0.75" bottom="0.75" header="0.3" footer="0.3"/>
  <pageSetup paperSize="9" scale="8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B48B-1958-4557-A897-F03BC016F952}">
  <sheetPr>
    <tabColor rgb="FF92D050"/>
    <pageSetUpPr fitToPage="1"/>
  </sheetPr>
  <dimension ref="A1:AC261"/>
  <sheetViews>
    <sheetView view="pageBreakPreview" topLeftCell="B7" zoomScale="70" zoomScaleNormal="50" zoomScaleSheetLayoutView="70" workbookViewId="0">
      <selection activeCell="E25" sqref="E25"/>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5449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2463</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2463</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164</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3836"/>
      <c r="Y6" s="4063" t="s">
        <v>476</v>
      </c>
      <c r="Z6" s="4064"/>
      <c r="AA6" s="4058" t="s">
        <v>472</v>
      </c>
      <c r="AB6" s="4059" t="s">
        <v>473</v>
      </c>
      <c r="AC6" s="4058" t="s">
        <v>474</v>
      </c>
    </row>
    <row r="7" spans="1:29" ht="15">
      <c r="A7" s="483"/>
      <c r="B7" s="484"/>
      <c r="C7" s="4088" t="s">
        <v>2190</v>
      </c>
      <c r="D7" s="4089"/>
      <c r="E7" s="4101" t="str">
        <f>成本案例!B3</f>
        <v xml:space="preserve">顺义区国展预留地剩余地块 土地一级开发项目 </v>
      </c>
      <c r="F7" s="4102"/>
      <c r="G7" s="4088" t="str">
        <f>成本案例!B4</f>
        <v>顺义区仁和镇平各庄村B 地块土地一级开发项目</v>
      </c>
      <c r="H7" s="4089"/>
      <c r="I7" s="4088" t="str">
        <f>成本案例!B6</f>
        <v>顺义区M15号线后沙峪站ABC地块</v>
      </c>
      <c r="J7" s="4089"/>
      <c r="K7" s="482"/>
      <c r="L7" s="1854"/>
      <c r="M7" s="1855"/>
      <c r="N7" s="1855"/>
      <c r="O7" s="1855"/>
      <c r="P7" s="4081"/>
      <c r="Q7" s="4082"/>
      <c r="R7" s="4065"/>
      <c r="S7" s="4066"/>
      <c r="T7" s="4065"/>
      <c r="U7" s="4066"/>
      <c r="V7" s="4085"/>
      <c r="W7" s="4085"/>
      <c r="X7" s="3836"/>
      <c r="Y7" s="4065"/>
      <c r="Z7" s="4066"/>
      <c r="AA7" s="4059"/>
      <c r="AB7" s="4059"/>
      <c r="AC7" s="4059"/>
    </row>
    <row r="8" spans="1:29" ht="15.75" thickBot="1">
      <c r="A8" s="485"/>
      <c r="B8" s="486"/>
      <c r="C8" s="4086" t="s">
        <v>2194</v>
      </c>
      <c r="D8" s="4087"/>
      <c r="E8" s="4103"/>
      <c r="F8" s="4104"/>
      <c r="G8" s="4105"/>
      <c r="H8" s="4087"/>
      <c r="I8" s="4105"/>
      <c r="J8" s="4087"/>
      <c r="K8" s="482" t="s">
        <v>477</v>
      </c>
      <c r="L8" s="1854"/>
      <c r="M8" s="1855"/>
      <c r="N8" s="1855"/>
      <c r="O8" s="1855"/>
      <c r="P8" s="4083"/>
      <c r="Q8" s="4084"/>
      <c r="R8" s="4065"/>
      <c r="S8" s="4066"/>
      <c r="T8" s="4067"/>
      <c r="U8" s="4068"/>
      <c r="V8" s="4085"/>
      <c r="W8" s="4085"/>
      <c r="X8" s="3836"/>
      <c r="Y8" s="4067"/>
      <c r="Z8" s="4068"/>
      <c r="AA8" s="4060"/>
      <c r="AB8" s="4060"/>
      <c r="AC8" s="4060"/>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成本案例!I6</f>
        <v>44986</v>
      </c>
      <c r="J9" s="488">
        <f>SUMIF(66:66,YEAR(I9)&amp;"-"&amp;INT((MONTH(I9)+2)/3),67:67)</f>
        <v>98.38</v>
      </c>
      <c r="K9" s="492"/>
      <c r="L9" s="1856"/>
      <c r="M9" s="1857"/>
      <c r="N9" s="1857"/>
      <c r="O9" s="1857"/>
      <c r="P9" s="4061" t="s">
        <v>479</v>
      </c>
      <c r="Q9" s="4070"/>
      <c r="R9" s="1379" t="s">
        <v>5</v>
      </c>
      <c r="S9" s="1380">
        <f t="shared" ref="S9:S17" si="0">F9</f>
        <v>90.89</v>
      </c>
      <c r="T9" s="1379" t="s">
        <v>5</v>
      </c>
      <c r="U9" s="1380">
        <f t="shared" ref="U9:U17" si="1">H9</f>
        <v>96.21</v>
      </c>
      <c r="V9" s="1379" t="s">
        <v>5</v>
      </c>
      <c r="W9" s="1380">
        <f t="shared" ref="W9:W17" si="2">J9</f>
        <v>98.38</v>
      </c>
      <c r="X9" s="1381"/>
      <c r="Y9" s="4061" t="s">
        <v>479</v>
      </c>
      <c r="Z9" s="4062"/>
      <c r="AA9" s="1382">
        <f>D9/F9</f>
        <v>1.1002310485201892</v>
      </c>
      <c r="AB9" s="1382">
        <f>D9/H9</f>
        <v>1.0393929944912172</v>
      </c>
      <c r="AC9" s="1382">
        <f>D9/J9</f>
        <v>1.0164667615368979</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3834" t="str">
        <f t="shared" ref="Q11:Q17" si="6">B11</f>
        <v>用途</v>
      </c>
      <c r="R11" s="1379" t="s">
        <v>5</v>
      </c>
      <c r="S11" s="1380">
        <f t="shared" si="0"/>
        <v>100</v>
      </c>
      <c r="T11" s="1379" t="s">
        <v>5</v>
      </c>
      <c r="U11" s="1380">
        <f t="shared" si="1"/>
        <v>100</v>
      </c>
      <c r="V11" s="1379" t="s">
        <v>5</v>
      </c>
      <c r="W11" s="1380">
        <f t="shared" si="2"/>
        <v>100</v>
      </c>
      <c r="X11" s="1381"/>
      <c r="Y11" s="400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9"/>
      <c r="Q12" s="3834" t="str">
        <f t="shared" si="6"/>
        <v>土地使用年限（年）</v>
      </c>
      <c r="R12" s="1379" t="s">
        <v>5</v>
      </c>
      <c r="S12" s="1380">
        <f t="shared" si="0"/>
        <v>100</v>
      </c>
      <c r="T12" s="1379" t="s">
        <v>5</v>
      </c>
      <c r="U12" s="1380">
        <f t="shared" si="1"/>
        <v>100</v>
      </c>
      <c r="V12" s="1379" t="s">
        <v>5</v>
      </c>
      <c r="W12" s="1380">
        <f t="shared" si="2"/>
        <v>100</v>
      </c>
      <c r="X12" s="1381"/>
      <c r="Y12" s="400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9"/>
      <c r="Q13" s="3834" t="str">
        <f t="shared" si="6"/>
        <v>容积率</v>
      </c>
      <c r="R13" s="1379" t="s">
        <v>5</v>
      </c>
      <c r="S13" s="1380">
        <f t="shared" si="0"/>
        <v>100</v>
      </c>
      <c r="T13" s="1379" t="s">
        <v>5</v>
      </c>
      <c r="U13" s="1380">
        <f t="shared" si="1"/>
        <v>100</v>
      </c>
      <c r="V13" s="1379" t="s">
        <v>5</v>
      </c>
      <c r="W13" s="1380">
        <f t="shared" si="2"/>
        <v>100</v>
      </c>
      <c r="X13" s="1381"/>
      <c r="Y13" s="4009"/>
      <c r="Z13" s="383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9"/>
      <c r="Q14" s="3834">
        <f t="shared" si="6"/>
        <v>111</v>
      </c>
      <c r="R14" s="1379" t="s">
        <v>5</v>
      </c>
      <c r="S14" s="1380">
        <f t="shared" si="0"/>
        <v>100</v>
      </c>
      <c r="T14" s="1379" t="s">
        <v>5</v>
      </c>
      <c r="U14" s="1380">
        <f t="shared" si="1"/>
        <v>100</v>
      </c>
      <c r="V14" s="1379" t="s">
        <v>5</v>
      </c>
      <c r="W14" s="1380">
        <f t="shared" si="2"/>
        <v>100</v>
      </c>
      <c r="X14" s="1381"/>
      <c r="Y14" s="400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3834">
        <f t="shared" si="6"/>
        <v>111</v>
      </c>
      <c r="R15" s="1379" t="s">
        <v>5</v>
      </c>
      <c r="S15" s="1380">
        <f t="shared" si="0"/>
        <v>100</v>
      </c>
      <c r="T15" s="1379" t="s">
        <v>5</v>
      </c>
      <c r="U15" s="1380">
        <f t="shared" si="1"/>
        <v>100</v>
      </c>
      <c r="V15" s="1379" t="s">
        <v>5</v>
      </c>
      <c r="W15" s="1380">
        <f t="shared" si="2"/>
        <v>100</v>
      </c>
      <c r="X15" s="1381"/>
      <c r="Y15" s="400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3834">
        <f t="shared" si="6"/>
        <v>111</v>
      </c>
      <c r="R16" s="1379" t="s">
        <v>5</v>
      </c>
      <c r="S16" s="1380">
        <f t="shared" si="0"/>
        <v>100</v>
      </c>
      <c r="T16" s="1379" t="s">
        <v>5</v>
      </c>
      <c r="U16" s="1380">
        <f t="shared" si="1"/>
        <v>100</v>
      </c>
      <c r="V16" s="1379" t="s">
        <v>5</v>
      </c>
      <c r="W16" s="1380">
        <f t="shared" si="2"/>
        <v>100</v>
      </c>
      <c r="X16" s="1381"/>
      <c r="Y16" s="400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71" t="s">
        <v>489</v>
      </c>
      <c r="Q17" s="3837" t="str">
        <f t="shared" si="6"/>
        <v>产业集聚程度</v>
      </c>
      <c r="R17" s="1384" t="s">
        <v>5</v>
      </c>
      <c r="S17" s="1385">
        <f t="shared" si="0"/>
        <v>100</v>
      </c>
      <c r="T17" s="1384" t="s">
        <v>5</v>
      </c>
      <c r="U17" s="1385">
        <f t="shared" si="1"/>
        <v>100</v>
      </c>
      <c r="V17" s="1384" t="s">
        <v>5</v>
      </c>
      <c r="W17" s="1385">
        <f t="shared" si="2"/>
        <v>100</v>
      </c>
      <c r="X17" s="3836"/>
      <c r="Y17" s="4071" t="s">
        <v>489</v>
      </c>
      <c r="Z17" s="3838" t="str">
        <f t="shared" si="7"/>
        <v>产业集聚程度</v>
      </c>
      <c r="AA17" s="3839">
        <f t="shared" si="3"/>
        <v>1</v>
      </c>
      <c r="AB17" s="3839">
        <f t="shared" si="4"/>
        <v>1</v>
      </c>
      <c r="AC17" s="3839">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72"/>
      <c r="Q18" s="3837"/>
      <c r="R18" s="1384"/>
      <c r="S18" s="1385"/>
      <c r="T18" s="1384"/>
      <c r="U18" s="1385"/>
      <c r="V18" s="1384"/>
      <c r="W18" s="1385"/>
      <c r="X18" s="3836"/>
      <c r="Y18" s="4072"/>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98</v>
      </c>
      <c r="I19" s="532"/>
      <c r="J19" s="527">
        <f>SUMIF(86:86,I20,87:87)-SUMIF(86:86,C20,87:87)+100</f>
        <v>100</v>
      </c>
      <c r="K19" s="503">
        <v>2</v>
      </c>
      <c r="L19" s="1863"/>
      <c r="M19" s="1855"/>
      <c r="N19" s="1855"/>
      <c r="O19" s="1862"/>
      <c r="P19" s="4072"/>
      <c r="Q19" s="3837" t="str">
        <f>B19</f>
        <v>交通便捷度</v>
      </c>
      <c r="R19" s="1384" t="s">
        <v>5</v>
      </c>
      <c r="S19" s="1385">
        <f>F19</f>
        <v>100</v>
      </c>
      <c r="T19" s="1384" t="s">
        <v>5</v>
      </c>
      <c r="U19" s="1385">
        <f>H19</f>
        <v>98</v>
      </c>
      <c r="V19" s="1384" t="s">
        <v>5</v>
      </c>
      <c r="W19" s="1385">
        <f>J19</f>
        <v>100</v>
      </c>
      <c r="X19" s="3836"/>
      <c r="Y19" s="4072"/>
      <c r="Z19" s="3838" t="str">
        <f>Q19</f>
        <v>交通便捷度</v>
      </c>
      <c r="AA19" s="3839">
        <f t="shared" si="3"/>
        <v>1</v>
      </c>
      <c r="AB19" s="3839">
        <f t="shared" si="4"/>
        <v>1.0204081632653061</v>
      </c>
      <c r="AC19" s="3839">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72"/>
      <c r="Q20" s="3837"/>
      <c r="R20" s="1384"/>
      <c r="S20" s="1385"/>
      <c r="T20" s="1384"/>
      <c r="U20" s="1385"/>
      <c r="V20" s="1384"/>
      <c r="W20" s="1385"/>
      <c r="X20" s="3836"/>
      <c r="Y20" s="4072"/>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f>结果汇总表!D16</f>
        <v>9994.9861999999994</v>
      </c>
      <c r="N21" s="1855"/>
      <c r="O21" s="1862"/>
      <c r="P21" s="4072"/>
      <c r="Q21" s="3837" t="str">
        <f t="shared" ref="Q21:Q35" si="8">B21</f>
        <v>区域土地利用方向</v>
      </c>
      <c r="R21" s="1384" t="s">
        <v>5</v>
      </c>
      <c r="S21" s="1385">
        <f>F21</f>
        <v>100</v>
      </c>
      <c r="T21" s="1384" t="s">
        <v>5</v>
      </c>
      <c r="U21" s="1385">
        <f>H21</f>
        <v>100</v>
      </c>
      <c r="V21" s="1384" t="s">
        <v>5</v>
      </c>
      <c r="W21" s="1385">
        <f>J21</f>
        <v>100</v>
      </c>
      <c r="X21" s="3836"/>
      <c r="Y21" s="4072"/>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72"/>
      <c r="Q22" s="3837"/>
      <c r="R22" s="1384"/>
      <c r="S22" s="1385"/>
      <c r="T22" s="1384"/>
      <c r="U22" s="1385"/>
      <c r="V22" s="1384"/>
      <c r="W22" s="1385"/>
      <c r="X22" s="3836"/>
      <c r="Y22" s="4072"/>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3837" t="str">
        <f t="shared" si="8"/>
        <v>环境状况</v>
      </c>
      <c r="R23" s="1384" t="s">
        <v>5</v>
      </c>
      <c r="S23" s="1385">
        <f>F23</f>
        <v>100</v>
      </c>
      <c r="T23" s="1384" t="s">
        <v>5</v>
      </c>
      <c r="U23" s="1385">
        <f>H23</f>
        <v>100</v>
      </c>
      <c r="V23" s="1384" t="s">
        <v>5</v>
      </c>
      <c r="W23" s="1385">
        <f>J23</f>
        <v>100</v>
      </c>
      <c r="X23" s="3836"/>
      <c r="Y23" s="4072"/>
      <c r="Z23" s="3838" t="str">
        <f>Q23</f>
        <v>环境状况</v>
      </c>
      <c r="AA23" s="3839">
        <f t="shared" si="3"/>
        <v>1</v>
      </c>
      <c r="AB23" s="3839">
        <f t="shared" si="4"/>
        <v>1</v>
      </c>
      <c r="AC23" s="3839">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3837"/>
      <c r="R24" s="1384"/>
      <c r="S24" s="1385"/>
      <c r="T24" s="1384"/>
      <c r="U24" s="1385"/>
      <c r="V24" s="1384"/>
      <c r="W24" s="1385"/>
      <c r="X24" s="3836"/>
      <c r="Y24" s="4072"/>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3834" t="str">
        <f t="shared" si="8"/>
        <v>公共配套设施</v>
      </c>
      <c r="R25" s="1379" t="s">
        <v>5</v>
      </c>
      <c r="S25" s="1380">
        <f>F25</f>
        <v>100</v>
      </c>
      <c r="T25" s="1379" t="s">
        <v>5</v>
      </c>
      <c r="U25" s="1380">
        <f>H25</f>
        <v>100</v>
      </c>
      <c r="V25" s="1379" t="s">
        <v>5</v>
      </c>
      <c r="W25" s="1380">
        <f>J25</f>
        <v>100</v>
      </c>
      <c r="X25" s="1381"/>
      <c r="Y25" s="4072"/>
      <c r="Z25" s="3833" t="str">
        <f>Q25</f>
        <v>公共配套设施</v>
      </c>
      <c r="AA25" s="3839">
        <f>D25/F25</f>
        <v>1</v>
      </c>
      <c r="AB25" s="3839">
        <f>D25/H25</f>
        <v>1</v>
      </c>
      <c r="AC25" s="3839">
        <f>D25/J25</f>
        <v>1</v>
      </c>
    </row>
    <row r="26" spans="1:29" s="1116" customFormat="1" ht="15">
      <c r="A26" s="545"/>
      <c r="B26" s="563"/>
      <c r="C26" s="2198"/>
      <c r="D26" s="523"/>
      <c r="E26" s="522"/>
      <c r="F26" s="523"/>
      <c r="G26" s="522"/>
      <c r="H26" s="523"/>
      <c r="I26" s="544"/>
      <c r="J26" s="523"/>
      <c r="K26" s="499"/>
      <c r="L26" s="1856"/>
      <c r="M26" s="1857"/>
      <c r="N26" s="1857"/>
      <c r="O26" s="1858"/>
      <c r="P26" s="4072"/>
      <c r="Q26" s="3834"/>
      <c r="R26" s="1379"/>
      <c r="S26" s="1380"/>
      <c r="T26" s="1379"/>
      <c r="U26" s="1380"/>
      <c r="V26" s="1379"/>
      <c r="W26" s="1380"/>
      <c r="X26" s="1381"/>
      <c r="Y26" s="4072"/>
      <c r="Z26" s="383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72"/>
      <c r="Q27" s="3834" t="str">
        <f>B27</f>
        <v>基础设施水平</v>
      </c>
      <c r="R27" s="1379" t="s">
        <v>5</v>
      </c>
      <c r="S27" s="1380">
        <f>F27</f>
        <v>100</v>
      </c>
      <c r="T27" s="1379" t="s">
        <v>5</v>
      </c>
      <c r="U27" s="1380">
        <f>H27</f>
        <v>100</v>
      </c>
      <c r="V27" s="1379" t="s">
        <v>5</v>
      </c>
      <c r="W27" s="1380">
        <f>J27</f>
        <v>100</v>
      </c>
      <c r="X27" s="1381"/>
      <c r="Y27" s="4072"/>
      <c r="Z27" s="3833" t="str">
        <f>Q27</f>
        <v>基础设施水平</v>
      </c>
      <c r="AA27" s="3839">
        <f>D27/F27</f>
        <v>1</v>
      </c>
      <c r="AB27" s="3839">
        <f>D27/H27</f>
        <v>1</v>
      </c>
      <c r="AC27" s="3839">
        <f>D27/J27</f>
        <v>1</v>
      </c>
    </row>
    <row r="28" spans="1:29" s="1116" customFormat="1" ht="15">
      <c r="A28" s="545"/>
      <c r="B28" s="563"/>
      <c r="C28" s="2198"/>
      <c r="D28" s="523"/>
      <c r="E28" s="547"/>
      <c r="F28" s="523"/>
      <c r="G28" s="547"/>
      <c r="H28" s="523"/>
      <c r="I28" s="547"/>
      <c r="J28" s="523"/>
      <c r="K28" s="499"/>
      <c r="L28" s="1856"/>
      <c r="M28" s="1857"/>
      <c r="N28" s="1857"/>
      <c r="O28" s="1858"/>
      <c r="P28" s="4072"/>
      <c r="Q28" s="3834"/>
      <c r="R28" s="1379"/>
      <c r="S28" s="1380"/>
      <c r="T28" s="1379"/>
      <c r="U28" s="1380"/>
      <c r="V28" s="1379"/>
      <c r="W28" s="1380"/>
      <c r="X28" s="1381"/>
      <c r="Y28" s="4072"/>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72"/>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3837" t="str">
        <f t="shared" si="8"/>
        <v>毗邻道路的类型与等级</v>
      </c>
      <c r="R30" s="1384" t="s">
        <v>5</v>
      </c>
      <c r="S30" s="1385">
        <f t="shared" si="9"/>
        <v>100</v>
      </c>
      <c r="T30" s="1384" t="s">
        <v>5</v>
      </c>
      <c r="U30" s="1385">
        <f t="shared" si="10"/>
        <v>100</v>
      </c>
      <c r="V30" s="1384" t="s">
        <v>5</v>
      </c>
      <c r="W30" s="1385">
        <f t="shared" si="11"/>
        <v>100</v>
      </c>
      <c r="X30" s="3836"/>
      <c r="Y30" s="4072"/>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72"/>
      <c r="Q31" s="3837"/>
      <c r="R31" s="1384"/>
      <c r="S31" s="1385"/>
      <c r="T31" s="1384"/>
      <c r="U31" s="1385"/>
      <c r="V31" s="1384"/>
      <c r="W31" s="1385"/>
      <c r="X31" s="3836"/>
      <c r="Y31" s="4072"/>
      <c r="Z31" s="3838"/>
      <c r="AA31" s="3839">
        <v>1</v>
      </c>
      <c r="AB31" s="3839">
        <v>1</v>
      </c>
      <c r="AC31" s="3839">
        <v>1</v>
      </c>
    </row>
    <row r="32" spans="1:29" ht="15">
      <c r="A32" s="500"/>
      <c r="B32" s="495" t="s">
        <v>498</v>
      </c>
      <c r="C32" s="2202" t="str">
        <f>估价对象房地状况!G23</f>
        <v>八级</v>
      </c>
      <c r="D32" s="508">
        <v>100</v>
      </c>
      <c r="E32" s="548" t="s">
        <v>1154</v>
      </c>
      <c r="F32" s="508">
        <f>SUMIF(100:100,E32,101:101)-SUMIF(100:100,C32,101:101)+100</f>
        <v>101</v>
      </c>
      <c r="G32" s="548" t="s">
        <v>1154</v>
      </c>
      <c r="H32" s="508">
        <f>SUMIF(100:100,G32,101:101)-SUMIF(100:100,C32,101:101)+100</f>
        <v>101</v>
      </c>
      <c r="I32" s="548" t="s">
        <v>1153</v>
      </c>
      <c r="J32" s="508">
        <f>SUMIF(100:100,I32,101:101)-SUMIF(100:100,C32,101:101)+100</f>
        <v>102</v>
      </c>
      <c r="K32" s="552">
        <v>1</v>
      </c>
      <c r="L32" s="1863"/>
      <c r="M32" s="1855"/>
      <c r="N32" s="1855"/>
      <c r="O32" s="1862"/>
      <c r="P32" s="4072"/>
      <c r="Q32" s="3837" t="str">
        <f t="shared" si="8"/>
        <v>土地级别</v>
      </c>
      <c r="R32" s="1384" t="s">
        <v>5</v>
      </c>
      <c r="S32" s="1385">
        <f t="shared" si="9"/>
        <v>101</v>
      </c>
      <c r="T32" s="1384" t="s">
        <v>5</v>
      </c>
      <c r="U32" s="1385">
        <f t="shared" si="10"/>
        <v>101</v>
      </c>
      <c r="V32" s="1384" t="s">
        <v>5</v>
      </c>
      <c r="W32" s="1385">
        <f t="shared" si="11"/>
        <v>102</v>
      </c>
      <c r="X32" s="3836"/>
      <c r="Y32" s="4072"/>
      <c r="Z32" s="3838" t="str">
        <f t="shared" si="12"/>
        <v>土地级别</v>
      </c>
      <c r="AA32" s="3839">
        <f t="shared" si="3"/>
        <v>0.99009900990099009</v>
      </c>
      <c r="AB32" s="3839">
        <f t="shared" si="4"/>
        <v>0.99009900990099009</v>
      </c>
      <c r="AC32" s="3839">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3837">
        <f t="shared" si="8"/>
        <v>111</v>
      </c>
      <c r="R33" s="1384" t="s">
        <v>5</v>
      </c>
      <c r="S33" s="1385">
        <f t="shared" si="9"/>
        <v>100</v>
      </c>
      <c r="T33" s="1384" t="s">
        <v>5</v>
      </c>
      <c r="U33" s="1385">
        <f t="shared" si="10"/>
        <v>100</v>
      </c>
      <c r="V33" s="1384" t="s">
        <v>5</v>
      </c>
      <c r="W33" s="1385">
        <f t="shared" si="11"/>
        <v>100</v>
      </c>
      <c r="X33" s="3836"/>
      <c r="Y33" s="4072"/>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3837">
        <f t="shared" si="8"/>
        <v>111</v>
      </c>
      <c r="R34" s="1384" t="s">
        <v>5</v>
      </c>
      <c r="S34" s="1385">
        <f t="shared" si="9"/>
        <v>100</v>
      </c>
      <c r="T34" s="1384" t="s">
        <v>5</v>
      </c>
      <c r="U34" s="1385">
        <f t="shared" si="10"/>
        <v>100</v>
      </c>
      <c r="V34" s="1384" t="s">
        <v>5</v>
      </c>
      <c r="W34" s="1385">
        <f t="shared" si="11"/>
        <v>100</v>
      </c>
      <c r="X34" s="3836"/>
      <c r="Y34" s="4074"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3837">
        <f t="shared" si="8"/>
        <v>111</v>
      </c>
      <c r="R35" s="1388" t="s">
        <v>5</v>
      </c>
      <c r="S35" s="1389">
        <f t="shared" si="9"/>
        <v>100</v>
      </c>
      <c r="T35" s="1388" t="s">
        <v>5</v>
      </c>
      <c r="U35" s="1389">
        <f t="shared" si="10"/>
        <v>100</v>
      </c>
      <c r="V35" s="1388" t="s">
        <v>5</v>
      </c>
      <c r="W35" s="1389">
        <f t="shared" si="11"/>
        <v>100</v>
      </c>
      <c r="X35" s="1390"/>
      <c r="Y35" s="4074"/>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成本案例!D3*10000</f>
        <v>129000</v>
      </c>
      <c r="F36" s="565">
        <f>LOOKUP(E36,109:109,110:110)-LOOKUP(C36,109:109,110:110)+100</f>
        <v>98.5</v>
      </c>
      <c r="G36" s="564">
        <f>成本案例!D4*10000</f>
        <v>361500</v>
      </c>
      <c r="H36" s="565">
        <f>LOOKUP(G36,109:109,110:110)-LOOKUP(C36,109:109,110:110)+100</f>
        <v>98.5</v>
      </c>
      <c r="I36" s="566">
        <f>成本案例!D6*10000</f>
        <v>847200</v>
      </c>
      <c r="J36" s="565">
        <f>LOOKUP(I36,109:109,110:110)-LOOKUP(C36,109:109,110:110)+100</f>
        <v>97</v>
      </c>
      <c r="K36" s="549"/>
      <c r="L36" s="1863"/>
      <c r="M36" s="1855"/>
      <c r="N36" s="1855"/>
      <c r="O36" s="1862"/>
      <c r="P36" s="4074"/>
      <c r="Q36" s="3837" t="str">
        <f>B36</f>
        <v>宗地面积</v>
      </c>
      <c r="R36" s="1384" t="s">
        <v>5</v>
      </c>
      <c r="S36" s="1385">
        <f t="shared" si="9"/>
        <v>98.5</v>
      </c>
      <c r="T36" s="1384" t="s">
        <v>5</v>
      </c>
      <c r="U36" s="1385">
        <f t="shared" si="10"/>
        <v>98.5</v>
      </c>
      <c r="V36" s="1384" t="s">
        <v>5</v>
      </c>
      <c r="W36" s="1385">
        <f t="shared" si="11"/>
        <v>97</v>
      </c>
      <c r="X36" s="3836"/>
      <c r="Y36" s="4074"/>
      <c r="Z36" s="3838" t="str">
        <f t="shared" si="12"/>
        <v>宗地面积</v>
      </c>
      <c r="AA36" s="3839">
        <f t="shared" si="3"/>
        <v>1.015228426395939</v>
      </c>
      <c r="AB36" s="3839">
        <f t="shared" si="4"/>
        <v>1.015228426395939</v>
      </c>
      <c r="AC36" s="3839">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3837" t="str">
        <f t="shared" ref="Q37:Q42" si="13">B37</f>
        <v>宗地形状</v>
      </c>
      <c r="R37" s="1384" t="s">
        <v>5</v>
      </c>
      <c r="S37" s="1385">
        <f t="shared" si="9"/>
        <v>100</v>
      </c>
      <c r="T37" s="1384" t="s">
        <v>5</v>
      </c>
      <c r="U37" s="1385">
        <f t="shared" si="10"/>
        <v>100</v>
      </c>
      <c r="V37" s="1384" t="s">
        <v>5</v>
      </c>
      <c r="W37" s="1385">
        <f t="shared" si="11"/>
        <v>100</v>
      </c>
      <c r="X37" s="3836"/>
      <c r="Y37" s="4074"/>
      <c r="Z37" s="3838" t="str">
        <f t="shared" si="12"/>
        <v>宗地形状</v>
      </c>
      <c r="AA37" s="3839">
        <f t="shared" si="3"/>
        <v>1</v>
      </c>
      <c r="AB37" s="3839">
        <f t="shared" si="4"/>
        <v>1</v>
      </c>
      <c r="AC37" s="3839">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74"/>
      <c r="Q38" s="3837" t="str">
        <f t="shared" si="13"/>
        <v>宗地开发程度</v>
      </c>
      <c r="R38" s="1379" t="s">
        <v>5</v>
      </c>
      <c r="S38" s="1380">
        <f t="shared" si="9"/>
        <v>100</v>
      </c>
      <c r="T38" s="1379" t="s">
        <v>5</v>
      </c>
      <c r="U38" s="1380">
        <f t="shared" si="10"/>
        <v>100</v>
      </c>
      <c r="V38" s="1379" t="s">
        <v>5</v>
      </c>
      <c r="W38" s="1380">
        <f t="shared" si="11"/>
        <v>100</v>
      </c>
      <c r="X38" s="1381"/>
      <c r="Y38" s="4074"/>
      <c r="Z38" s="383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499</v>
      </c>
      <c r="Q39" s="3837" t="str">
        <f t="shared" si="13"/>
        <v>工程地质条件</v>
      </c>
      <c r="R39" s="1384" t="s">
        <v>5</v>
      </c>
      <c r="S39" s="1385">
        <f t="shared" si="9"/>
        <v>100</v>
      </c>
      <c r="T39" s="1384" t="s">
        <v>5</v>
      </c>
      <c r="U39" s="1385">
        <f t="shared" si="10"/>
        <v>100</v>
      </c>
      <c r="V39" s="1384" t="s">
        <v>5</v>
      </c>
      <c r="W39" s="1385">
        <f t="shared" si="11"/>
        <v>100</v>
      </c>
      <c r="X39" s="3836"/>
      <c r="Y39" s="4074" t="s">
        <v>499</v>
      </c>
      <c r="Z39" s="3838" t="str">
        <f t="shared" si="12"/>
        <v>工程地质条件</v>
      </c>
      <c r="AA39" s="3839">
        <f t="shared" si="3"/>
        <v>1</v>
      </c>
      <c r="AB39" s="3839">
        <f t="shared" si="4"/>
        <v>1</v>
      </c>
      <c r="AC39" s="3839">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74"/>
      <c r="Q40" s="3837">
        <f t="shared" si="13"/>
        <v>111</v>
      </c>
      <c r="R40" s="1384" t="s">
        <v>5</v>
      </c>
      <c r="S40" s="1385">
        <f t="shared" si="9"/>
        <v>100</v>
      </c>
      <c r="T40" s="1384" t="s">
        <v>5</v>
      </c>
      <c r="U40" s="1385">
        <f t="shared" si="10"/>
        <v>100</v>
      </c>
      <c r="V40" s="1384" t="s">
        <v>5</v>
      </c>
      <c r="W40" s="1385">
        <f t="shared" si="11"/>
        <v>100</v>
      </c>
      <c r="X40" s="3836"/>
      <c r="Y40" s="4074"/>
      <c r="Z40" s="3838">
        <f t="shared" si="12"/>
        <v>111</v>
      </c>
      <c r="AA40" s="3839">
        <f t="shared" si="3"/>
        <v>1</v>
      </c>
      <c r="AB40" s="3839">
        <f t="shared" si="4"/>
        <v>1</v>
      </c>
      <c r="AC40" s="3839">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3837">
        <f t="shared" si="13"/>
        <v>111</v>
      </c>
      <c r="R41" s="1384" t="s">
        <v>5</v>
      </c>
      <c r="S41" s="1385">
        <f t="shared" si="9"/>
        <v>100</v>
      </c>
      <c r="T41" s="1384" t="s">
        <v>5</v>
      </c>
      <c r="U41" s="1385">
        <f t="shared" si="10"/>
        <v>100</v>
      </c>
      <c r="V41" s="1384" t="s">
        <v>5</v>
      </c>
      <c r="W41" s="1385">
        <f t="shared" si="11"/>
        <v>100</v>
      </c>
      <c r="X41" s="3836"/>
      <c r="Y41" s="4074"/>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3837">
        <f t="shared" si="13"/>
        <v>111</v>
      </c>
      <c r="R42" s="1388" t="s">
        <v>5</v>
      </c>
      <c r="S42" s="1389">
        <f t="shared" si="9"/>
        <v>100</v>
      </c>
      <c r="T42" s="1388" t="s">
        <v>5</v>
      </c>
      <c r="U42" s="1389">
        <f t="shared" si="10"/>
        <v>100</v>
      </c>
      <c r="V42" s="1388" t="s">
        <v>5</v>
      </c>
      <c r="W42" s="1389">
        <f t="shared" si="11"/>
        <v>100</v>
      </c>
      <c r="X42" s="1390"/>
      <c r="Y42" s="4074"/>
      <c r="Z42" s="1391">
        <f t="shared" si="12"/>
        <v>111</v>
      </c>
      <c r="AA42" s="3839">
        <f t="shared" si="3"/>
        <v>1</v>
      </c>
      <c r="AB42" s="3839">
        <f t="shared" si="4"/>
        <v>1</v>
      </c>
      <c r="AC42" s="3839">
        <f t="shared" si="5"/>
        <v>1</v>
      </c>
    </row>
    <row r="43" spans="1:29" ht="15">
      <c r="A43" s="575" t="s">
        <v>505</v>
      </c>
      <c r="B43" s="576" t="s">
        <v>2195</v>
      </c>
      <c r="C43" s="577" t="s">
        <v>0</v>
      </c>
      <c r="D43" s="578"/>
      <c r="E43" s="579">
        <f>成本案例!J3</f>
        <v>2838.7</v>
      </c>
      <c r="F43" s="580"/>
      <c r="G43" s="581">
        <f>成本案例!J4</f>
        <v>2453.6</v>
      </c>
      <c r="H43" s="582"/>
      <c r="I43" s="579">
        <f>成本案例!J6</f>
        <v>1589.9</v>
      </c>
      <c r="J43" s="582"/>
      <c r="K43" s="1199"/>
      <c r="L43" s="1865"/>
      <c r="M43" s="1855"/>
      <c r="N43" s="1855"/>
      <c r="O43" s="1866"/>
      <c r="P43" s="4069" t="str">
        <f>A43</f>
        <v>成交单价</v>
      </c>
      <c r="Q43" s="4069"/>
      <c r="R43" s="4085">
        <f>E43</f>
        <v>2838.7</v>
      </c>
      <c r="S43" s="4085"/>
      <c r="T43" s="4085">
        <f>G43</f>
        <v>2453.6</v>
      </c>
      <c r="U43" s="4085"/>
      <c r="V43" s="4085">
        <f>I43</f>
        <v>1589.9</v>
      </c>
      <c r="W43" s="4085"/>
      <c r="X43" s="1373"/>
      <c r="Y43" s="1392"/>
      <c r="Z43" s="1373"/>
      <c r="AA43" s="1373"/>
      <c r="AB43" s="1373"/>
      <c r="AC43" s="1373"/>
    </row>
    <row r="44" spans="1:29" ht="15.75" thickBot="1">
      <c r="A44" s="583" t="s">
        <v>1975</v>
      </c>
      <c r="B44" s="584"/>
      <c r="C44" s="585">
        <f>R45</f>
        <v>2463</v>
      </c>
      <c r="D44" s="2755" t="s">
        <v>2259</v>
      </c>
      <c r="E44" s="585">
        <f>R44</f>
        <v>3139</v>
      </c>
      <c r="F44" s="2756"/>
      <c r="G44" s="586">
        <f>T44</f>
        <v>2616</v>
      </c>
      <c r="H44" s="2756"/>
      <c r="I44" s="585">
        <f>V44</f>
        <v>1633</v>
      </c>
      <c r="J44" s="2756"/>
      <c r="K44" s="2757">
        <f>F44+H44+J44</f>
        <v>0</v>
      </c>
      <c r="L44" s="1865"/>
      <c r="M44" s="1855"/>
      <c r="N44" s="1855"/>
      <c r="O44" s="1866"/>
      <c r="P44" s="4069" t="str">
        <f>A44</f>
        <v>比较价格（元/平方米）</v>
      </c>
      <c r="Q44" s="4069"/>
      <c r="R44" s="4093">
        <f>ROUND(PRODUCT(R43,AA9:AA42),0)</f>
        <v>3139</v>
      </c>
      <c r="S44" s="4093"/>
      <c r="T44" s="4093">
        <f>ROUND(PRODUCT(T43,AB9:AB42),0)</f>
        <v>2616</v>
      </c>
      <c r="U44" s="4093"/>
      <c r="V44" s="4093">
        <f>ROUND(PRODUCT(V43,AC9:AC42),0)</f>
        <v>1633</v>
      </c>
      <c r="W44" s="4093"/>
      <c r="X44" s="1373"/>
      <c r="Y44" s="1373"/>
      <c r="Z44" s="1373"/>
      <c r="AA44" s="1373"/>
      <c r="AB44" s="1373"/>
      <c r="AC44" s="1373"/>
    </row>
    <row r="45" spans="1:29" ht="15.75" thickBot="1">
      <c r="A45" s="587" t="s">
        <v>2196</v>
      </c>
      <c r="B45" s="588"/>
      <c r="C45" s="589">
        <f>R45</f>
        <v>2463</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2463</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0.10578786064043411</v>
      </c>
      <c r="F48" s="593" t="str">
        <f>IF(OR(E48&gt;=0.3,E48&lt;=-0.3),"超过30%","")</f>
        <v/>
      </c>
      <c r="G48" s="592">
        <f>IF(G43&lt;G44,G44/G43-1,G43/G44-1)</f>
        <v>6.6188457776328757E-2</v>
      </c>
      <c r="H48" s="593" t="str">
        <f>IF(OR(G48&gt;=0.3,G48&lt;=-0.3),"超过30%","")</f>
        <v/>
      </c>
      <c r="I48" s="592">
        <f>IF(I43&lt;I44,I44/I43-1,I43/I44-1)</f>
        <v>2.7108623183847991E-2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0.19992354740061158</v>
      </c>
      <c r="F49" s="593" t="str">
        <f>IF(OR(E49&gt;=0.2,E49&lt;=-0.2),"超过20%","")</f>
        <v/>
      </c>
      <c r="G49" s="592">
        <f>IF(G44&lt;I44,I44/G44-1,G44/I44-1)</f>
        <v>0.60195958358848745</v>
      </c>
      <c r="H49" s="593" t="str">
        <f>IF(OR(G49&gt;=0.2,G49&lt;=-0.2),"超过20%","")</f>
        <v>超过20%</v>
      </c>
      <c r="I49" s="592">
        <f>IF(I44&lt;E44,E44/I44-1,I44/E44-1)</f>
        <v>0.9222290263319044</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0.54324171331530269</v>
      </c>
      <c r="H50" s="593" t="str">
        <f>IF(OR(G50&gt;=0.3,G50&lt;=-0.3),"超过30%","")</f>
        <v>超过30%</v>
      </c>
      <c r="I50" s="592">
        <f>IF(I43&lt;E43,E43/I43-1,I43/E43-1)</f>
        <v>0.78545820491854812</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2463</v>
      </c>
      <c r="C53" s="601">
        <v>1</v>
      </c>
      <c r="D53" s="1945">
        <v>1</v>
      </c>
      <c r="E53" s="601">
        <f>'数据-汇总表'!E8+'数据-汇总表'!E9</f>
        <v>22121.8</v>
      </c>
      <c r="F53" s="1704">
        <f t="shared" ref="F53:F61" si="14">ROUND(B53*E53/10000,0)</f>
        <v>5449</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5449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99</v>
      </c>
      <c r="E101" s="645">
        <f t="shared" si="24"/>
        <v>98</v>
      </c>
      <c r="F101" s="645">
        <f t="shared" si="24"/>
        <v>97</v>
      </c>
      <c r="G101" s="645">
        <f t="shared" si="24"/>
        <v>96</v>
      </c>
      <c r="H101" s="645">
        <f t="shared" si="24"/>
        <v>95</v>
      </c>
      <c r="I101" s="645">
        <f t="shared" si="24"/>
        <v>94</v>
      </c>
      <c r="J101" s="645">
        <f t="shared" si="24"/>
        <v>93</v>
      </c>
      <c r="K101" s="645">
        <f t="shared" si="24"/>
        <v>92</v>
      </c>
      <c r="L101" s="645">
        <f t="shared" si="24"/>
        <v>91</v>
      </c>
      <c r="M101" s="645">
        <f t="shared" si="24"/>
        <v>90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50000(含)-500000</v>
      </c>
      <c r="E108" s="670" t="str">
        <f t="shared" si="25"/>
        <v>500000(含)-1000000</v>
      </c>
      <c r="F108" s="670" t="str">
        <f t="shared" si="25"/>
        <v>1000000(含)-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500000</v>
      </c>
      <c r="F109" s="696">
        <v>1000000</v>
      </c>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C110-1.5</f>
        <v>98.5</v>
      </c>
      <c r="E110" s="692">
        <f t="shared" ref="E110:F110" si="26">D110-1.5</f>
        <v>97</v>
      </c>
      <c r="F110" s="692">
        <f t="shared" si="26"/>
        <v>95.5</v>
      </c>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7">C112-$K37</f>
        <v>100</v>
      </c>
      <c r="E112" s="645">
        <f t="shared" si="27"/>
        <v>100</v>
      </c>
      <c r="F112" s="645">
        <f t="shared" si="27"/>
        <v>100</v>
      </c>
      <c r="G112" s="645">
        <f t="shared" si="27"/>
        <v>100</v>
      </c>
      <c r="H112" s="645">
        <f t="shared" si="27"/>
        <v>100</v>
      </c>
      <c r="I112" s="645">
        <f t="shared" si="27"/>
        <v>100</v>
      </c>
      <c r="J112" s="645">
        <f t="shared" si="27"/>
        <v>100</v>
      </c>
      <c r="K112" s="645">
        <f t="shared" si="27"/>
        <v>100</v>
      </c>
      <c r="L112" s="645">
        <f t="shared" si="27"/>
        <v>100</v>
      </c>
      <c r="M112" s="646">
        <f t="shared" si="27"/>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9">C116-$K39</f>
        <v>100</v>
      </c>
      <c r="E116" s="645">
        <f t="shared" si="29"/>
        <v>100</v>
      </c>
      <c r="F116" s="645">
        <f t="shared" si="29"/>
        <v>100</v>
      </c>
      <c r="G116" s="645">
        <f t="shared" si="29"/>
        <v>100</v>
      </c>
      <c r="H116" s="645">
        <f t="shared" si="29"/>
        <v>100</v>
      </c>
      <c r="I116" s="645">
        <f t="shared" si="29"/>
        <v>100</v>
      </c>
      <c r="J116" s="645">
        <f t="shared" si="29"/>
        <v>100</v>
      </c>
      <c r="K116" s="645">
        <f t="shared" si="29"/>
        <v>100</v>
      </c>
      <c r="L116" s="645">
        <f t="shared" si="29"/>
        <v>100</v>
      </c>
      <c r="M116" s="646">
        <f t="shared" si="29"/>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79" priority="17" stopIfTrue="1" operator="containsText" text="超过">
      <formula>NOT(ISERROR(SEARCH("超过",F48)))</formula>
    </cfRule>
  </conditionalFormatting>
  <conditionalFormatting sqref="J50">
    <cfRule type="containsText" dxfId="178" priority="16" stopIfTrue="1" operator="containsText" text="超过">
      <formula>NOT(ISERROR(SEARCH("超过",J50)))</formula>
    </cfRule>
  </conditionalFormatting>
  <conditionalFormatting sqref="H50">
    <cfRule type="containsText" dxfId="177" priority="15" stopIfTrue="1" operator="containsText" text="超过">
      <formula>NOT(ISERROR(SEARCH("超过",H50)))</formula>
    </cfRule>
  </conditionalFormatting>
  <conditionalFormatting sqref="F50">
    <cfRule type="containsText" dxfId="176" priority="14" stopIfTrue="1" operator="containsText" text="超过">
      <formula>NOT(ISERROR(SEARCH("超过",F50)))</formula>
    </cfRule>
  </conditionalFormatting>
  <conditionalFormatting sqref="F49 H49 J49">
    <cfRule type="containsText" dxfId="175" priority="13" stopIfTrue="1" operator="containsText" text="超过">
      <formula>NOT(ISERROR(SEARCH("超过",F49)))</formula>
    </cfRule>
  </conditionalFormatting>
  <conditionalFormatting sqref="E48">
    <cfRule type="expression" dxfId="174" priority="12" stopIfTrue="1">
      <formula>$F$48="超过30%"</formula>
    </cfRule>
  </conditionalFormatting>
  <conditionalFormatting sqref="G50">
    <cfRule type="expression" dxfId="173" priority="11" stopIfTrue="1">
      <formula>$H$50="超过30%"</formula>
    </cfRule>
  </conditionalFormatting>
  <conditionalFormatting sqref="E50">
    <cfRule type="expression" dxfId="172" priority="10" stopIfTrue="1">
      <formula>$F$50="超过30%"</formula>
    </cfRule>
  </conditionalFormatting>
  <conditionalFormatting sqref="G48">
    <cfRule type="expression" dxfId="171" priority="9" stopIfTrue="1">
      <formula>$H$48="超过30%"</formula>
    </cfRule>
  </conditionalFormatting>
  <conditionalFormatting sqref="G49">
    <cfRule type="expression" dxfId="170" priority="8" stopIfTrue="1">
      <formula>$H$49="超过20%"</formula>
    </cfRule>
  </conditionalFormatting>
  <conditionalFormatting sqref="I48">
    <cfRule type="expression" dxfId="169" priority="7" stopIfTrue="1">
      <formula>$J$48="超过30%"</formula>
    </cfRule>
  </conditionalFormatting>
  <conditionalFormatting sqref="I49">
    <cfRule type="expression" dxfId="168" priority="6" stopIfTrue="1">
      <formula>$J$49="超过20%"</formula>
    </cfRule>
  </conditionalFormatting>
  <conditionalFormatting sqref="I50">
    <cfRule type="expression" dxfId="167" priority="5" stopIfTrue="1">
      <formula>$J$50="超过30%"</formula>
    </cfRule>
  </conditionalFormatting>
  <conditionalFormatting sqref="E49">
    <cfRule type="expression" dxfId="166" priority="18" stopIfTrue="1">
      <formula>#REF!+$F$49="超过20%"</formula>
    </cfRule>
  </conditionalFormatting>
  <conditionalFormatting sqref="F44">
    <cfRule type="expression" dxfId="165" priority="4">
      <formula>$D$44="简单平均"</formula>
    </cfRule>
  </conditionalFormatting>
  <conditionalFormatting sqref="H44">
    <cfRule type="expression" dxfId="164" priority="3">
      <formula>$D$44="简单平均"</formula>
    </cfRule>
  </conditionalFormatting>
  <conditionalFormatting sqref="J44">
    <cfRule type="expression" dxfId="163" priority="2">
      <formula>$D$44="简单平均"</formula>
    </cfRule>
  </conditionalFormatting>
  <conditionalFormatting sqref="F9:F42 H9:H42 J9:J42">
    <cfRule type="cellIs" dxfId="162" priority="1" operator="notEqual">
      <formula>100</formula>
    </cfRule>
  </conditionalFormatting>
  <dataValidations count="20">
    <dataValidation type="list" allowBlank="1" showInputMessage="1" showErrorMessage="1" sqref="D54:D61" xr:uid="{1D7E1C3B-CB64-48C0-8063-79C1794E992C}">
      <formula1>"25%,1"</formula1>
    </dataValidation>
    <dataValidation type="list" allowBlank="1" showInputMessage="1" showErrorMessage="1" sqref="D44" xr:uid="{011876E9-7E33-421F-8A5C-AE8FCB61F1CC}">
      <formula1>"简单平均,加权平均"</formula1>
    </dataValidation>
    <dataValidation type="list" allowBlank="1" showInputMessage="1" showErrorMessage="1" sqref="C39 E39 G39 I39" xr:uid="{87C329C9-4969-43CA-9682-AE2EC76480C6}">
      <formula1>套工工程地质条件</formula1>
    </dataValidation>
    <dataValidation type="list" allowBlank="1" showInputMessage="1" showErrorMessage="1" sqref="C38 E38 G38 I38" xr:uid="{ED5B7A64-BBA9-4E1D-86FF-15FFAB7F0FAC}">
      <formula1>套工开发程度</formula1>
    </dataValidation>
    <dataValidation type="list" allowBlank="1" showInputMessage="1" showErrorMessage="1" sqref="C37 E37 G37 I37" xr:uid="{3131A19C-051E-4268-BE93-B8392E4A231A}">
      <formula1>套工宗地形状</formula1>
    </dataValidation>
    <dataValidation type="list" allowBlank="1" showInputMessage="1" showErrorMessage="1" sqref="C31 E31 G31 I31" xr:uid="{133ABE7E-A959-4030-B6D3-0E362D87E42B}">
      <formula1>套工临街等级</formula1>
    </dataValidation>
    <dataValidation type="list" allowBlank="1" showInputMessage="1" showErrorMessage="1" sqref="C28 E28 G28 I28" xr:uid="{44F30AFC-19C0-4F34-928C-B610B73EF2A1}">
      <formula1>基础设施水平</formula1>
    </dataValidation>
    <dataValidation type="list" allowBlank="1" showInputMessage="1" showErrorMessage="1" sqref="C18 E18 G18 I18" xr:uid="{D5C20AE9-7036-4801-BB81-DA2414939464}">
      <formula1>产业集聚程度</formula1>
    </dataValidation>
    <dataValidation type="list" allowBlank="1" showInputMessage="1" showErrorMessage="1" sqref="G59" xr:uid="{CAD5E52A-19CD-4DDC-8196-27B0D5E1F5F9}">
      <formula1>"住宅,工业"</formula1>
    </dataValidation>
    <dataValidation type="list" allowBlank="1" showInputMessage="1" showErrorMessage="1" sqref="G58" xr:uid="{42A699F4-2B1C-47C2-840B-B0DC017B27F6}">
      <formula1>"商业,办公,住宅,工业"</formula1>
    </dataValidation>
    <dataValidation type="list" allowBlank="1" showInputMessage="1" showErrorMessage="1" sqref="C52" xr:uid="{7846DB7F-351A-467C-AFA8-4E554DDEFFDA}">
      <formula1>"北京市系数,其他省市系数"</formula1>
    </dataValidation>
    <dataValidation type="list" allowBlank="1" showInputMessage="1" showErrorMessage="1" sqref="E22 C22 G22 I22" xr:uid="{B89FF8CC-F8B3-470D-ADE7-BE676428D9F7}">
      <formula1>区域土地利用方向</formula1>
    </dataValidation>
    <dataValidation type="list" allowBlank="1" showInputMessage="1" showErrorMessage="1" sqref="C29 E29 G29 I29" xr:uid="{2DD11E7C-B644-438D-A5DC-CDFD6F4CAAB5}">
      <formula1>临街状况</formula1>
    </dataValidation>
    <dataValidation type="list" allowBlank="1" showInputMessage="1" showErrorMessage="1" sqref="I32 E32 G32" xr:uid="{934B06A0-C949-4F09-9A28-0C64F757787A}">
      <formula1>套工土地级别</formula1>
    </dataValidation>
    <dataValidation type="list" allowBlank="1" showInputMessage="1" showErrorMessage="1" sqref="C11 E11 G11 I11" xr:uid="{85991B48-77FB-4392-9C6D-D2099E49C95D}">
      <formula1>套工用途</formula1>
    </dataValidation>
    <dataValidation type="list" allowBlank="1" showInputMessage="1" showErrorMessage="1" sqref="C10 E10 G10 I10" xr:uid="{85D589BF-82E1-460B-8236-3D7080829CC6}">
      <formula1>套工交易情况</formula1>
    </dataValidation>
    <dataValidation type="list" allowBlank="1" showInputMessage="1" showErrorMessage="1" sqref="E26 C26 I26 G26" xr:uid="{5543780F-339B-4218-B0CB-C3BE66E6C412}">
      <formula1>公共配套设施</formula1>
    </dataValidation>
    <dataValidation type="list" allowBlank="1" showInputMessage="1" showErrorMessage="1" sqref="E20 C20 G20 I20" xr:uid="{D63841A8-08D5-48BC-AECE-024A31736418}">
      <formula1>交通便捷度</formula1>
    </dataValidation>
    <dataValidation type="list" allowBlank="1" showInputMessage="1" showErrorMessage="1" sqref="C24 E24 G24 I24" xr:uid="{C11BB48B-CACD-40E9-BCAF-6E3F1B6E72D0}">
      <formula1>环境</formula1>
    </dataValidation>
    <dataValidation type="list" allowBlank="1" showInputMessage="1" showErrorMessage="1" sqref="B43" xr:uid="{34642CB6-4BA0-4298-AA3A-72B03C0B5529}">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CE39-939D-4D7B-99D3-63CE792AB7DF}">
  <sheetPr>
    <tabColor rgb="FF92D050"/>
    <pageSetUpPr fitToPage="1"/>
  </sheetPr>
  <dimension ref="A1:AC261"/>
  <sheetViews>
    <sheetView view="pageBreakPreview" topLeftCell="B25" zoomScale="80" zoomScaleNormal="50" zoomScaleSheetLayoutView="80" workbookViewId="0">
      <selection activeCell="I32" sqref="I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12667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5726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5726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382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3849"/>
      <c r="Y6" s="4063" t="s">
        <v>476</v>
      </c>
      <c r="Z6" s="4064"/>
      <c r="AA6" s="4058" t="s">
        <v>472</v>
      </c>
      <c r="AB6" s="4059" t="s">
        <v>473</v>
      </c>
      <c r="AC6" s="4058" t="s">
        <v>474</v>
      </c>
    </row>
    <row r="7" spans="1:29" ht="15">
      <c r="A7" s="483"/>
      <c r="B7" s="484"/>
      <c r="C7" s="4088" t="s">
        <v>2190</v>
      </c>
      <c r="D7" s="4089"/>
      <c r="E7" s="4101" t="str">
        <f>新案例整理1024!C8</f>
        <v>北京丰凯置业有限公司</v>
      </c>
      <c r="F7" s="4102"/>
      <c r="G7" s="4088" t="str">
        <f>新案例整理1024!C9</f>
        <v>福建亚通新材料科技股份有限公司</v>
      </c>
      <c r="H7" s="4089"/>
      <c r="I7" s="4088" t="str">
        <f>新案例整理1024!C10</f>
        <v>北京市海通汽车修理厂</v>
      </c>
      <c r="J7" s="4089"/>
      <c r="K7" s="482"/>
      <c r="L7" s="1854"/>
      <c r="M7" s="1855"/>
      <c r="N7" s="1855"/>
      <c r="O7" s="1855"/>
      <c r="P7" s="4081"/>
      <c r="Q7" s="4082"/>
      <c r="R7" s="4065"/>
      <c r="S7" s="4066"/>
      <c r="T7" s="4065"/>
      <c r="U7" s="4066"/>
      <c r="V7" s="4085"/>
      <c r="W7" s="4085"/>
      <c r="X7" s="3849"/>
      <c r="Y7" s="4065"/>
      <c r="Z7" s="4066"/>
      <c r="AA7" s="4059"/>
      <c r="AB7" s="4059"/>
      <c r="AC7" s="4059"/>
    </row>
    <row r="8" spans="1:29" ht="15.75" thickBot="1">
      <c r="A8" s="485"/>
      <c r="B8" s="486"/>
      <c r="C8" s="4086" t="s">
        <v>2194</v>
      </c>
      <c r="D8" s="4087"/>
      <c r="E8" s="4103" t="str">
        <f>新案例整理1024!B8</f>
        <v>通州区张家湾镇光华路26号</v>
      </c>
      <c r="F8" s="4104"/>
      <c r="G8" s="4105" t="str">
        <f>新案例整理1024!B9</f>
        <v>通州区张家湾镇张辛庄村西</v>
      </c>
      <c r="H8" s="4087"/>
      <c r="I8" s="4105" t="str">
        <f>新案例整理1024!B10</f>
        <v>通州区张家湾镇张辛庄村南2号</v>
      </c>
      <c r="J8" s="4087"/>
      <c r="K8" s="482" t="s">
        <v>477</v>
      </c>
      <c r="L8" s="1854"/>
      <c r="M8" s="1855"/>
      <c r="N8" s="1855"/>
      <c r="O8" s="1855"/>
      <c r="P8" s="4083"/>
      <c r="Q8" s="4084"/>
      <c r="R8" s="4065"/>
      <c r="S8" s="4066"/>
      <c r="T8" s="4067"/>
      <c r="U8" s="4068"/>
      <c r="V8" s="4085"/>
      <c r="W8" s="4085"/>
      <c r="X8" s="3849"/>
      <c r="Y8" s="4067"/>
      <c r="Z8" s="4068"/>
      <c r="AA8" s="4060"/>
      <c r="AB8" s="4060"/>
      <c r="AC8" s="4060"/>
    </row>
    <row r="9" spans="1:29" s="1116" customFormat="1" ht="15.75" thickBot="1">
      <c r="A9" s="2390"/>
      <c r="B9" s="2397" t="s">
        <v>478</v>
      </c>
      <c r="C9" s="487">
        <f>'数据-取费表'!B2</f>
        <v>45173</v>
      </c>
      <c r="D9" s="488">
        <v>100</v>
      </c>
      <c r="E9" s="489">
        <f>新案例整理1024!L8</f>
        <v>44453</v>
      </c>
      <c r="F9" s="490">
        <f>SUMIF(66:66,YEAR(E9)&amp;"-"&amp;INT((MONTH(E9)+2)/3),67:67)</f>
        <v>94.63</v>
      </c>
      <c r="G9" s="491">
        <f>新案例整理1024!L9</f>
        <v>43514</v>
      </c>
      <c r="H9" s="488">
        <f>SUMIF(66:66,YEAR(G9)&amp;"-"&amp;INT((MONTH(G9)+2)/3),67:67)</f>
        <v>86.75</v>
      </c>
      <c r="I9" s="491">
        <f>新案例整理1024!L10</f>
        <v>43514</v>
      </c>
      <c r="J9" s="488">
        <f>SUMIF(66:66,YEAR(I9)&amp;"-"&amp;INT((MONTH(I9)+2)/3),67:67)</f>
        <v>86.75</v>
      </c>
      <c r="K9" s="492"/>
      <c r="L9" s="1856"/>
      <c r="M9" s="1857"/>
      <c r="N9" s="1857"/>
      <c r="O9" s="1857"/>
      <c r="P9" s="4061" t="s">
        <v>479</v>
      </c>
      <c r="Q9" s="4070"/>
      <c r="R9" s="1379" t="s">
        <v>5</v>
      </c>
      <c r="S9" s="1380">
        <f t="shared" ref="S9:S17" si="0">F9</f>
        <v>94.63</v>
      </c>
      <c r="T9" s="1379" t="s">
        <v>5</v>
      </c>
      <c r="U9" s="1380">
        <f t="shared" ref="U9:U17" si="1">H9</f>
        <v>86.75</v>
      </c>
      <c r="V9" s="1379" t="s">
        <v>5</v>
      </c>
      <c r="W9" s="1380">
        <f t="shared" ref="W9:W17" si="2">J9</f>
        <v>86.75</v>
      </c>
      <c r="X9" s="1381"/>
      <c r="Y9" s="4061" t="s">
        <v>479</v>
      </c>
      <c r="Z9" s="4062"/>
      <c r="AA9" s="1382">
        <f>D9/F9</f>
        <v>1.0567473317129874</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3846" t="str">
        <f t="shared" ref="Q11:Q17" si="6">B11</f>
        <v>用途</v>
      </c>
      <c r="R11" s="1379" t="s">
        <v>5</v>
      </c>
      <c r="S11" s="1380">
        <f t="shared" si="0"/>
        <v>100</v>
      </c>
      <c r="T11" s="1379" t="s">
        <v>5</v>
      </c>
      <c r="U11" s="1380">
        <f t="shared" si="1"/>
        <v>100</v>
      </c>
      <c r="V11" s="1379" t="s">
        <v>5</v>
      </c>
      <c r="W11" s="1380">
        <f t="shared" si="2"/>
        <v>100</v>
      </c>
      <c r="X11" s="1381"/>
      <c r="Y11" s="4009" t="s">
        <v>485</v>
      </c>
      <c r="Z11" s="3845" t="str">
        <f t="shared" ref="Z11:Z17" si="7">Q11</f>
        <v>用途</v>
      </c>
      <c r="AA11" s="1382">
        <f t="shared" si="3"/>
        <v>1</v>
      </c>
      <c r="AB11" s="1382">
        <f t="shared" si="4"/>
        <v>1</v>
      </c>
      <c r="AC11" s="1382">
        <f t="shared" si="5"/>
        <v>1</v>
      </c>
    </row>
    <row r="12" spans="1:29" s="1197" customFormat="1" ht="27" hidden="1">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9"/>
      <c r="Q12" s="3846" t="str">
        <f t="shared" si="6"/>
        <v>土地使用年限（年）</v>
      </c>
      <c r="R12" s="1379" t="s">
        <v>5</v>
      </c>
      <c r="S12" s="1380">
        <f t="shared" si="0"/>
        <v>100</v>
      </c>
      <c r="T12" s="1379" t="s">
        <v>5</v>
      </c>
      <c r="U12" s="1380">
        <f t="shared" si="1"/>
        <v>100</v>
      </c>
      <c r="V12" s="1379" t="s">
        <v>5</v>
      </c>
      <c r="W12" s="1380">
        <f t="shared" si="2"/>
        <v>100</v>
      </c>
      <c r="X12" s="1381"/>
      <c r="Y12" s="4009"/>
      <c r="Z12" s="3845"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9"/>
      <c r="Q13" s="3846" t="str">
        <f t="shared" si="6"/>
        <v>容积率</v>
      </c>
      <c r="R13" s="1379" t="s">
        <v>5</v>
      </c>
      <c r="S13" s="1380">
        <f t="shared" si="0"/>
        <v>100</v>
      </c>
      <c r="T13" s="1379" t="s">
        <v>5</v>
      </c>
      <c r="U13" s="1380">
        <f t="shared" si="1"/>
        <v>100</v>
      </c>
      <c r="V13" s="1379" t="s">
        <v>5</v>
      </c>
      <c r="W13" s="1380">
        <f t="shared" si="2"/>
        <v>100</v>
      </c>
      <c r="X13" s="1381"/>
      <c r="Y13" s="4009"/>
      <c r="Z13" s="3845"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509" t="str">
        <f>E14</f>
        <v>收回</v>
      </c>
      <c r="J14" s="246">
        <f>SUMIF(78:78,I14,79:79)-SUMIF(78:78,C14,79:79)+100</f>
        <v>100</v>
      </c>
      <c r="K14" s="499"/>
      <c r="L14" s="1856"/>
      <c r="M14" s="1857"/>
      <c r="N14" s="1857"/>
      <c r="O14" s="1858"/>
      <c r="P14" s="4069"/>
      <c r="Q14" s="3846">
        <f t="shared" si="6"/>
        <v>111</v>
      </c>
      <c r="R14" s="1379" t="s">
        <v>5</v>
      </c>
      <c r="S14" s="1380">
        <f t="shared" si="0"/>
        <v>100</v>
      </c>
      <c r="T14" s="1379" t="s">
        <v>5</v>
      </c>
      <c r="U14" s="1380">
        <f t="shared" si="1"/>
        <v>100</v>
      </c>
      <c r="V14" s="1379" t="s">
        <v>5</v>
      </c>
      <c r="W14" s="1380">
        <f t="shared" si="2"/>
        <v>100</v>
      </c>
      <c r="X14" s="1381"/>
      <c r="Y14" s="4009"/>
      <c r="Z14" s="3845">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3846">
        <f t="shared" si="6"/>
        <v>111</v>
      </c>
      <c r="R15" s="1379" t="s">
        <v>5</v>
      </c>
      <c r="S15" s="1380">
        <f t="shared" si="0"/>
        <v>100</v>
      </c>
      <c r="T15" s="1379" t="s">
        <v>5</v>
      </c>
      <c r="U15" s="1380">
        <f t="shared" si="1"/>
        <v>100</v>
      </c>
      <c r="V15" s="1379" t="s">
        <v>5</v>
      </c>
      <c r="W15" s="1380">
        <f t="shared" si="2"/>
        <v>100</v>
      </c>
      <c r="X15" s="1381"/>
      <c r="Y15" s="4009"/>
      <c r="Z15" s="3845">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3846">
        <f t="shared" si="6"/>
        <v>111</v>
      </c>
      <c r="R16" s="1379" t="s">
        <v>5</v>
      </c>
      <c r="S16" s="1380">
        <f t="shared" si="0"/>
        <v>100</v>
      </c>
      <c r="T16" s="1379" t="s">
        <v>5</v>
      </c>
      <c r="U16" s="1380">
        <f t="shared" si="1"/>
        <v>100</v>
      </c>
      <c r="V16" s="1379" t="s">
        <v>5</v>
      </c>
      <c r="W16" s="1380">
        <f t="shared" si="2"/>
        <v>100</v>
      </c>
      <c r="X16" s="1381"/>
      <c r="Y16" s="4009"/>
      <c r="Z16" s="3845">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1</v>
      </c>
      <c r="L17" s="1863"/>
      <c r="M17" s="1855"/>
      <c r="N17" s="1855"/>
      <c r="O17" s="1862"/>
      <c r="P17" s="4071" t="s">
        <v>489</v>
      </c>
      <c r="Q17" s="3847" t="str">
        <f t="shared" si="6"/>
        <v>产业集聚程度</v>
      </c>
      <c r="R17" s="1384" t="s">
        <v>5</v>
      </c>
      <c r="S17" s="1385">
        <f t="shared" si="0"/>
        <v>100</v>
      </c>
      <c r="T17" s="1384" t="s">
        <v>5</v>
      </c>
      <c r="U17" s="1385">
        <f t="shared" si="1"/>
        <v>100</v>
      </c>
      <c r="V17" s="1384" t="s">
        <v>5</v>
      </c>
      <c r="W17" s="1385">
        <f t="shared" si="2"/>
        <v>100</v>
      </c>
      <c r="X17" s="3849"/>
      <c r="Y17" s="4071" t="s">
        <v>489</v>
      </c>
      <c r="Z17" s="3848" t="str">
        <f t="shared" si="7"/>
        <v>产业集聚程度</v>
      </c>
      <c r="AA17" s="3852">
        <f t="shared" si="3"/>
        <v>1</v>
      </c>
      <c r="AB17" s="3852">
        <f t="shared" si="4"/>
        <v>1</v>
      </c>
      <c r="AC17" s="3852">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72"/>
      <c r="Q18" s="3847"/>
      <c r="R18" s="1384"/>
      <c r="S18" s="1385"/>
      <c r="T18" s="1384"/>
      <c r="U18" s="1385"/>
      <c r="V18" s="1384"/>
      <c r="W18" s="1385"/>
      <c r="X18" s="3849"/>
      <c r="Y18" s="4072"/>
      <c r="Z18" s="3848"/>
      <c r="AA18" s="3852">
        <v>1</v>
      </c>
      <c r="AB18" s="3852">
        <v>1</v>
      </c>
      <c r="AC18" s="3852">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2</v>
      </c>
      <c r="L19" s="1863"/>
      <c r="M19" s="1855"/>
      <c r="N19" s="1855"/>
      <c r="O19" s="1862"/>
      <c r="P19" s="4072"/>
      <c r="Q19" s="3847" t="str">
        <f>B19</f>
        <v>交通便捷度</v>
      </c>
      <c r="R19" s="1384" t="s">
        <v>5</v>
      </c>
      <c r="S19" s="1385">
        <f>F19</f>
        <v>100</v>
      </c>
      <c r="T19" s="1384" t="s">
        <v>5</v>
      </c>
      <c r="U19" s="1385">
        <f>H19</f>
        <v>100</v>
      </c>
      <c r="V19" s="1384" t="s">
        <v>5</v>
      </c>
      <c r="W19" s="1385">
        <f>J19</f>
        <v>100</v>
      </c>
      <c r="X19" s="3849"/>
      <c r="Y19" s="4072"/>
      <c r="Z19" s="3848" t="str">
        <f>Q19</f>
        <v>交通便捷度</v>
      </c>
      <c r="AA19" s="3852">
        <f t="shared" si="3"/>
        <v>1</v>
      </c>
      <c r="AB19" s="3852">
        <f t="shared" si="4"/>
        <v>1</v>
      </c>
      <c r="AC19" s="3852">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72"/>
      <c r="Q20" s="3847"/>
      <c r="R20" s="1384"/>
      <c r="S20" s="1385"/>
      <c r="T20" s="1384"/>
      <c r="U20" s="1385"/>
      <c r="V20" s="1384"/>
      <c r="W20" s="1385"/>
      <c r="X20" s="3849"/>
      <c r="Y20" s="4072"/>
      <c r="Z20" s="3848"/>
      <c r="AA20" s="3852">
        <v>1</v>
      </c>
      <c r="AB20" s="3852">
        <v>1</v>
      </c>
      <c r="AC20" s="3852">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72"/>
      <c r="Q21" s="3847" t="str">
        <f t="shared" ref="Q21:Q35" si="8">B21</f>
        <v>区域土地利用方向</v>
      </c>
      <c r="R21" s="1384" t="s">
        <v>5</v>
      </c>
      <c r="S21" s="1385">
        <f>F21</f>
        <v>100</v>
      </c>
      <c r="T21" s="1384" t="s">
        <v>5</v>
      </c>
      <c r="U21" s="1385">
        <f>H21</f>
        <v>100</v>
      </c>
      <c r="V21" s="1384" t="s">
        <v>5</v>
      </c>
      <c r="W21" s="1385">
        <f>J21</f>
        <v>100</v>
      </c>
      <c r="X21" s="3849"/>
      <c r="Y21" s="4072"/>
      <c r="Z21" s="3848" t="str">
        <f>Q21</f>
        <v>区域土地利用方向</v>
      </c>
      <c r="AA21" s="3852">
        <f t="shared" si="3"/>
        <v>1</v>
      </c>
      <c r="AB21" s="3852">
        <f t="shared" si="4"/>
        <v>1</v>
      </c>
      <c r="AC21" s="3852">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72"/>
      <c r="Q22" s="3847"/>
      <c r="R22" s="1384"/>
      <c r="S22" s="1385"/>
      <c r="T22" s="1384"/>
      <c r="U22" s="1385"/>
      <c r="V22" s="1384"/>
      <c r="W22" s="1385"/>
      <c r="X22" s="3849"/>
      <c r="Y22" s="4072"/>
      <c r="Z22" s="3848"/>
      <c r="AA22" s="3852"/>
      <c r="AB22" s="3852"/>
      <c r="AC22" s="3852"/>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3847" t="str">
        <f t="shared" si="8"/>
        <v>环境状况</v>
      </c>
      <c r="R23" s="1384" t="s">
        <v>5</v>
      </c>
      <c r="S23" s="1385">
        <f>F23</f>
        <v>100</v>
      </c>
      <c r="T23" s="1384" t="s">
        <v>5</v>
      </c>
      <c r="U23" s="1385">
        <f>H23</f>
        <v>100</v>
      </c>
      <c r="V23" s="1384" t="s">
        <v>5</v>
      </c>
      <c r="W23" s="1385">
        <f>J23</f>
        <v>100</v>
      </c>
      <c r="X23" s="3849"/>
      <c r="Y23" s="4072"/>
      <c r="Z23" s="3848" t="str">
        <f>Q23</f>
        <v>环境状况</v>
      </c>
      <c r="AA23" s="3852">
        <f t="shared" si="3"/>
        <v>1</v>
      </c>
      <c r="AB23" s="3852">
        <f t="shared" si="4"/>
        <v>1</v>
      </c>
      <c r="AC23" s="3852">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3847"/>
      <c r="R24" s="1384"/>
      <c r="S24" s="1385"/>
      <c r="T24" s="1384"/>
      <c r="U24" s="1385"/>
      <c r="V24" s="1384"/>
      <c r="W24" s="1385"/>
      <c r="X24" s="3849"/>
      <c r="Y24" s="4072"/>
      <c r="Z24" s="3848"/>
      <c r="AA24" s="3852">
        <v>1</v>
      </c>
      <c r="AB24" s="3852">
        <v>1</v>
      </c>
      <c r="AC24" s="3852">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3846" t="str">
        <f t="shared" si="8"/>
        <v>公共配套设施</v>
      </c>
      <c r="R25" s="1379" t="s">
        <v>5</v>
      </c>
      <c r="S25" s="1380">
        <f>F25</f>
        <v>100</v>
      </c>
      <c r="T25" s="1379" t="s">
        <v>5</v>
      </c>
      <c r="U25" s="1380">
        <f>H25</f>
        <v>100</v>
      </c>
      <c r="V25" s="1379" t="s">
        <v>5</v>
      </c>
      <c r="W25" s="1380">
        <f>J25</f>
        <v>100</v>
      </c>
      <c r="X25" s="1381"/>
      <c r="Y25" s="4072"/>
      <c r="Z25" s="3845" t="str">
        <f>Q25</f>
        <v>公共配套设施</v>
      </c>
      <c r="AA25" s="3852">
        <f>D25/F25</f>
        <v>1</v>
      </c>
      <c r="AB25" s="3852">
        <f>D25/H25</f>
        <v>1</v>
      </c>
      <c r="AC25" s="3852">
        <f>D25/J25</f>
        <v>1</v>
      </c>
    </row>
    <row r="26" spans="1:29" s="1116" customFormat="1" ht="15">
      <c r="A26" s="545"/>
      <c r="B26" s="563"/>
      <c r="C26" s="2198"/>
      <c r="D26" s="523"/>
      <c r="E26" s="522"/>
      <c r="F26" s="523"/>
      <c r="G26" s="522"/>
      <c r="H26" s="523"/>
      <c r="I26" s="544"/>
      <c r="J26" s="523"/>
      <c r="K26" s="499"/>
      <c r="L26" s="1856"/>
      <c r="M26" s="1857"/>
      <c r="N26" s="1857"/>
      <c r="O26" s="1858"/>
      <c r="P26" s="4072"/>
      <c r="Q26" s="3846"/>
      <c r="R26" s="1379"/>
      <c r="S26" s="1380"/>
      <c r="T26" s="1379"/>
      <c r="U26" s="1380"/>
      <c r="V26" s="1379"/>
      <c r="W26" s="1380"/>
      <c r="X26" s="1381"/>
      <c r="Y26" s="4072"/>
      <c r="Z26" s="3845"/>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101</v>
      </c>
      <c r="G27" s="530"/>
      <c r="H27" s="527">
        <f>SUMIF(94:94,G28,95:95)-SUMIF(94:94,C28,95:95)+100</f>
        <v>101</v>
      </c>
      <c r="I27" s="532"/>
      <c r="J27" s="527">
        <f>SUMIF(94:94,I28,95:95)-SUMIF(94:94,C28,95:95)+100</f>
        <v>101</v>
      </c>
      <c r="K27" s="503">
        <v>0.5</v>
      </c>
      <c r="L27" s="1856"/>
      <c r="M27" s="1857"/>
      <c r="N27" s="1857"/>
      <c r="O27" s="1858"/>
      <c r="P27" s="4072"/>
      <c r="Q27" s="3846" t="str">
        <f>B27</f>
        <v>基础设施水平</v>
      </c>
      <c r="R27" s="1379" t="s">
        <v>5</v>
      </c>
      <c r="S27" s="1380">
        <f>F27</f>
        <v>101</v>
      </c>
      <c r="T27" s="1379" t="s">
        <v>5</v>
      </c>
      <c r="U27" s="1380">
        <f>H27</f>
        <v>101</v>
      </c>
      <c r="V27" s="1379" t="s">
        <v>5</v>
      </c>
      <c r="W27" s="1380">
        <f>J27</f>
        <v>101</v>
      </c>
      <c r="X27" s="1381"/>
      <c r="Y27" s="4072"/>
      <c r="Z27" s="3845" t="str">
        <f>Q27</f>
        <v>基础设施水平</v>
      </c>
      <c r="AA27" s="3852">
        <f>D27/F27</f>
        <v>0.99009900990099009</v>
      </c>
      <c r="AB27" s="3852">
        <f>D27/H27</f>
        <v>0.99009900990099009</v>
      </c>
      <c r="AC27" s="3852">
        <f>D27/J27</f>
        <v>0.99009900990099009</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72"/>
      <c r="Q28" s="3846"/>
      <c r="R28" s="1379"/>
      <c r="S28" s="1380"/>
      <c r="T28" s="1379"/>
      <c r="U28" s="1380"/>
      <c r="V28" s="1379"/>
      <c r="W28" s="1380"/>
      <c r="X28" s="1381"/>
      <c r="Y28" s="4072"/>
      <c r="Z28" s="3845"/>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3847" t="str">
        <f t="shared" si="8"/>
        <v>临街状况</v>
      </c>
      <c r="R29" s="1384" t="s">
        <v>5</v>
      </c>
      <c r="S29" s="1385">
        <f t="shared" ref="S29:S42" si="9">F29</f>
        <v>100</v>
      </c>
      <c r="T29" s="1384" t="s">
        <v>5</v>
      </c>
      <c r="U29" s="1385">
        <f t="shared" ref="U29:U42" si="10">H29</f>
        <v>100</v>
      </c>
      <c r="V29" s="1384" t="s">
        <v>5</v>
      </c>
      <c r="W29" s="1385">
        <f t="shared" ref="W29:W42" si="11">J29</f>
        <v>100</v>
      </c>
      <c r="X29" s="3849"/>
      <c r="Y29" s="4072"/>
      <c r="Z29" s="3848" t="str">
        <f t="shared" ref="Z29:Z42" si="12">Q29</f>
        <v>临街状况</v>
      </c>
      <c r="AA29" s="3852">
        <f t="shared" si="3"/>
        <v>1</v>
      </c>
      <c r="AB29" s="3852">
        <f t="shared" si="4"/>
        <v>1</v>
      </c>
      <c r="AC29" s="3852">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3847" t="str">
        <f t="shared" si="8"/>
        <v>毗邻道路的类型与等级</v>
      </c>
      <c r="R30" s="1384" t="s">
        <v>5</v>
      </c>
      <c r="S30" s="1385">
        <f t="shared" si="9"/>
        <v>100</v>
      </c>
      <c r="T30" s="1384" t="s">
        <v>5</v>
      </c>
      <c r="U30" s="1385">
        <f t="shared" si="10"/>
        <v>100</v>
      </c>
      <c r="V30" s="1384" t="s">
        <v>5</v>
      </c>
      <c r="W30" s="1385">
        <f t="shared" si="11"/>
        <v>100</v>
      </c>
      <c r="X30" s="3849"/>
      <c r="Y30" s="4072"/>
      <c r="Z30" s="3848" t="str">
        <f t="shared" si="12"/>
        <v>毗邻道路的类型与等级</v>
      </c>
      <c r="AA30" s="3852">
        <f t="shared" si="3"/>
        <v>1</v>
      </c>
      <c r="AB30" s="3852">
        <f t="shared" si="4"/>
        <v>1</v>
      </c>
      <c r="AC30" s="3852">
        <f t="shared" si="5"/>
        <v>1</v>
      </c>
    </row>
    <row r="31" spans="1:29" ht="15">
      <c r="A31" s="500"/>
      <c r="B31" s="563"/>
      <c r="C31" s="544"/>
      <c r="D31" s="523"/>
      <c r="E31" s="544"/>
      <c r="F31" s="523"/>
      <c r="G31" s="544"/>
      <c r="H31" s="523"/>
      <c r="I31" s="544"/>
      <c r="J31" s="523"/>
      <c r="K31" s="549"/>
      <c r="L31" s="1863"/>
      <c r="M31" s="1855"/>
      <c r="N31" s="1855"/>
      <c r="O31" s="1862"/>
      <c r="P31" s="4072"/>
      <c r="Q31" s="3847"/>
      <c r="R31" s="1384"/>
      <c r="S31" s="1385"/>
      <c r="T31" s="1384"/>
      <c r="U31" s="1385"/>
      <c r="V31" s="1384"/>
      <c r="W31" s="1385"/>
      <c r="X31" s="3849"/>
      <c r="Y31" s="4072"/>
      <c r="Z31" s="3848"/>
      <c r="AA31" s="3852">
        <v>1</v>
      </c>
      <c r="AB31" s="3852">
        <v>1</v>
      </c>
      <c r="AC31" s="3852">
        <v>1</v>
      </c>
    </row>
    <row r="32" spans="1:29" ht="15">
      <c r="A32" s="500"/>
      <c r="B32" s="495" t="s">
        <v>498</v>
      </c>
      <c r="C32" s="2202" t="str">
        <f>估价对象房地状况!G23</f>
        <v>八级</v>
      </c>
      <c r="D32" s="508">
        <v>100</v>
      </c>
      <c r="E32" s="548" t="s">
        <v>1153</v>
      </c>
      <c r="F32" s="508">
        <f>SUMIF(100:100,E32,101:101)-SUMIF(100:100,C32,101:101)+100</f>
        <v>102</v>
      </c>
      <c r="G32" s="548" t="s">
        <v>1153</v>
      </c>
      <c r="H32" s="508">
        <f>SUMIF(100:100,G32,101:101)-SUMIF(100:100,C32,101:101)+100</f>
        <v>102</v>
      </c>
      <c r="I32" s="548" t="s">
        <v>1153</v>
      </c>
      <c r="J32" s="508">
        <f>SUMIF(100:100,I32,101:101)-SUMIF(100:100,C32,101:101)+100</f>
        <v>102</v>
      </c>
      <c r="K32" s="552">
        <v>1</v>
      </c>
      <c r="L32" s="1863"/>
      <c r="M32" s="1855"/>
      <c r="N32" s="1855"/>
      <c r="O32" s="1862"/>
      <c r="P32" s="4072"/>
      <c r="Q32" s="3847" t="str">
        <f t="shared" si="8"/>
        <v>土地级别</v>
      </c>
      <c r="R32" s="1384" t="s">
        <v>5</v>
      </c>
      <c r="S32" s="1385">
        <f t="shared" si="9"/>
        <v>102</v>
      </c>
      <c r="T32" s="1384" t="s">
        <v>5</v>
      </c>
      <c r="U32" s="1385">
        <f t="shared" si="10"/>
        <v>102</v>
      </c>
      <c r="V32" s="1384" t="s">
        <v>5</v>
      </c>
      <c r="W32" s="1385">
        <f t="shared" si="11"/>
        <v>102</v>
      </c>
      <c r="X32" s="3849"/>
      <c r="Y32" s="4072"/>
      <c r="Z32" s="3848" t="str">
        <f t="shared" si="12"/>
        <v>土地级别</v>
      </c>
      <c r="AA32" s="3852">
        <f t="shared" si="3"/>
        <v>0.98039215686274506</v>
      </c>
      <c r="AB32" s="3852">
        <f t="shared" si="4"/>
        <v>0.98039215686274506</v>
      </c>
      <c r="AC32" s="3852">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3847">
        <f t="shared" si="8"/>
        <v>111</v>
      </c>
      <c r="R33" s="1384" t="s">
        <v>5</v>
      </c>
      <c r="S33" s="1385">
        <f t="shared" si="9"/>
        <v>100</v>
      </c>
      <c r="T33" s="1384" t="s">
        <v>5</v>
      </c>
      <c r="U33" s="1385">
        <f t="shared" si="10"/>
        <v>100</v>
      </c>
      <c r="V33" s="1384" t="s">
        <v>5</v>
      </c>
      <c r="W33" s="1385">
        <f t="shared" si="11"/>
        <v>100</v>
      </c>
      <c r="X33" s="3849"/>
      <c r="Y33" s="4072"/>
      <c r="Z33" s="3848">
        <f t="shared" si="12"/>
        <v>111</v>
      </c>
      <c r="AA33" s="3852">
        <f t="shared" si="3"/>
        <v>1</v>
      </c>
      <c r="AB33" s="3852">
        <f t="shared" si="4"/>
        <v>1</v>
      </c>
      <c r="AC33" s="3852">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3847">
        <f t="shared" si="8"/>
        <v>111</v>
      </c>
      <c r="R34" s="1384" t="s">
        <v>5</v>
      </c>
      <c r="S34" s="1385">
        <f t="shared" si="9"/>
        <v>100</v>
      </c>
      <c r="T34" s="1384" t="s">
        <v>5</v>
      </c>
      <c r="U34" s="1385">
        <f t="shared" si="10"/>
        <v>100</v>
      </c>
      <c r="V34" s="1384" t="s">
        <v>5</v>
      </c>
      <c r="W34" s="1385">
        <f t="shared" si="11"/>
        <v>100</v>
      </c>
      <c r="X34" s="3849"/>
      <c r="Y34" s="4074" t="s">
        <v>499</v>
      </c>
      <c r="Z34" s="3848">
        <f t="shared" si="12"/>
        <v>111</v>
      </c>
      <c r="AA34" s="3852">
        <f t="shared" si="3"/>
        <v>1</v>
      </c>
      <c r="AB34" s="3852">
        <f t="shared" si="4"/>
        <v>1</v>
      </c>
      <c r="AC34" s="3852">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3847">
        <f t="shared" si="8"/>
        <v>111</v>
      </c>
      <c r="R35" s="1388" t="s">
        <v>5</v>
      </c>
      <c r="S35" s="1389">
        <f t="shared" si="9"/>
        <v>100</v>
      </c>
      <c r="T35" s="1388" t="s">
        <v>5</v>
      </c>
      <c r="U35" s="1389">
        <f t="shared" si="10"/>
        <v>100</v>
      </c>
      <c r="V35" s="1388" t="s">
        <v>5</v>
      </c>
      <c r="W35" s="1389">
        <f t="shared" si="11"/>
        <v>100</v>
      </c>
      <c r="X35" s="1390"/>
      <c r="Y35" s="4074"/>
      <c r="Z35" s="1391">
        <f t="shared" si="12"/>
        <v>111</v>
      </c>
      <c r="AA35" s="3852">
        <f t="shared" si="3"/>
        <v>1</v>
      </c>
      <c r="AB35" s="3852">
        <f t="shared" si="4"/>
        <v>1</v>
      </c>
      <c r="AC35" s="3852">
        <f t="shared" si="5"/>
        <v>1</v>
      </c>
    </row>
    <row r="36" spans="1:29" ht="15">
      <c r="A36" s="2385" t="s">
        <v>2037</v>
      </c>
      <c r="B36" s="563" t="s">
        <v>501</v>
      </c>
      <c r="C36" s="564">
        <f>'数据-基础表'!A3</f>
        <v>22121.8</v>
      </c>
      <c r="D36" s="565">
        <v>100</v>
      </c>
      <c r="E36" s="564">
        <f>新案例整理1024!G8</f>
        <v>5602.96</v>
      </c>
      <c r="F36" s="565">
        <f>LOOKUP(E36,109:109,110:110)-LOOKUP(C36,109:109,110:110)+100</f>
        <v>101</v>
      </c>
      <c r="G36" s="564">
        <f>新案例整理1024!G9</f>
        <v>43710.55</v>
      </c>
      <c r="H36" s="565">
        <f>LOOKUP(G36,109:109,110:110)-LOOKUP(C36,109:109,110:110)+100</f>
        <v>100</v>
      </c>
      <c r="I36" s="566">
        <f>新案例整理1024!G10</f>
        <v>3410</v>
      </c>
      <c r="J36" s="565">
        <f>LOOKUP(I36,109:109,110:110)-LOOKUP(C36,109:109,110:110)+100</f>
        <v>101</v>
      </c>
      <c r="K36" s="549"/>
      <c r="L36" s="1863"/>
      <c r="M36" s="1855"/>
      <c r="N36" s="1855"/>
      <c r="O36" s="1862"/>
      <c r="P36" s="4074"/>
      <c r="Q36" s="3847" t="str">
        <f>B36</f>
        <v>宗地面积</v>
      </c>
      <c r="R36" s="1384" t="s">
        <v>5</v>
      </c>
      <c r="S36" s="1385">
        <f t="shared" si="9"/>
        <v>101</v>
      </c>
      <c r="T36" s="1384" t="s">
        <v>5</v>
      </c>
      <c r="U36" s="1385">
        <f t="shared" si="10"/>
        <v>100</v>
      </c>
      <c r="V36" s="1384" t="s">
        <v>5</v>
      </c>
      <c r="W36" s="1385">
        <f t="shared" si="11"/>
        <v>101</v>
      </c>
      <c r="X36" s="3849"/>
      <c r="Y36" s="4074"/>
      <c r="Z36" s="3848" t="str">
        <f t="shared" si="12"/>
        <v>宗地面积</v>
      </c>
      <c r="AA36" s="3852">
        <f t="shared" si="3"/>
        <v>0.99009900990099009</v>
      </c>
      <c r="AB36" s="3852">
        <f t="shared" si="4"/>
        <v>1</v>
      </c>
      <c r="AC36" s="3852">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3847" t="str">
        <f t="shared" ref="Q37:Q42" si="13">B37</f>
        <v>宗地形状</v>
      </c>
      <c r="R37" s="1384" t="s">
        <v>5</v>
      </c>
      <c r="S37" s="1385">
        <f t="shared" si="9"/>
        <v>100</v>
      </c>
      <c r="T37" s="1384" t="s">
        <v>5</v>
      </c>
      <c r="U37" s="1385">
        <f t="shared" si="10"/>
        <v>100</v>
      </c>
      <c r="V37" s="1384" t="s">
        <v>5</v>
      </c>
      <c r="W37" s="1385">
        <f t="shared" si="11"/>
        <v>100</v>
      </c>
      <c r="X37" s="3849"/>
      <c r="Y37" s="4074"/>
      <c r="Z37" s="3848" t="str">
        <f t="shared" si="12"/>
        <v>宗地形状</v>
      </c>
      <c r="AA37" s="3852">
        <f t="shared" si="3"/>
        <v>1</v>
      </c>
      <c r="AB37" s="3852">
        <f t="shared" si="4"/>
        <v>1</v>
      </c>
      <c r="AC37" s="3852">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74"/>
      <c r="Q38" s="3847" t="str">
        <f t="shared" si="13"/>
        <v>宗地开发程度</v>
      </c>
      <c r="R38" s="1379" t="s">
        <v>5</v>
      </c>
      <c r="S38" s="1380">
        <f t="shared" si="9"/>
        <v>100</v>
      </c>
      <c r="T38" s="1379" t="s">
        <v>5</v>
      </c>
      <c r="U38" s="1380">
        <f t="shared" si="10"/>
        <v>100</v>
      </c>
      <c r="V38" s="1379" t="s">
        <v>5</v>
      </c>
      <c r="W38" s="1380">
        <f t="shared" si="11"/>
        <v>100</v>
      </c>
      <c r="X38" s="1381"/>
      <c r="Y38" s="4074"/>
      <c r="Z38" s="3845"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499</v>
      </c>
      <c r="Q39" s="3847" t="str">
        <f t="shared" si="13"/>
        <v>工程地质条件</v>
      </c>
      <c r="R39" s="1384" t="s">
        <v>5</v>
      </c>
      <c r="S39" s="1385">
        <f t="shared" si="9"/>
        <v>100</v>
      </c>
      <c r="T39" s="1384" t="s">
        <v>5</v>
      </c>
      <c r="U39" s="1385">
        <f t="shared" si="10"/>
        <v>100</v>
      </c>
      <c r="V39" s="1384" t="s">
        <v>5</v>
      </c>
      <c r="W39" s="1385">
        <f t="shared" si="11"/>
        <v>100</v>
      </c>
      <c r="X39" s="3849"/>
      <c r="Y39" s="4074" t="s">
        <v>499</v>
      </c>
      <c r="Z39" s="3848" t="str">
        <f t="shared" si="12"/>
        <v>工程地质条件</v>
      </c>
      <c r="AA39" s="3852">
        <f t="shared" si="3"/>
        <v>1</v>
      </c>
      <c r="AB39" s="3852">
        <f t="shared" si="4"/>
        <v>1</v>
      </c>
      <c r="AC39" s="3852">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74"/>
      <c r="Q40" s="3847">
        <f t="shared" si="13"/>
        <v>111</v>
      </c>
      <c r="R40" s="1384" t="s">
        <v>5</v>
      </c>
      <c r="S40" s="1385">
        <f t="shared" si="9"/>
        <v>100</v>
      </c>
      <c r="T40" s="1384" t="s">
        <v>5</v>
      </c>
      <c r="U40" s="1385">
        <f t="shared" si="10"/>
        <v>100</v>
      </c>
      <c r="V40" s="1384" t="s">
        <v>5</v>
      </c>
      <c r="W40" s="1385">
        <f t="shared" si="11"/>
        <v>100</v>
      </c>
      <c r="X40" s="3849"/>
      <c r="Y40" s="4074"/>
      <c r="Z40" s="3848">
        <f t="shared" si="12"/>
        <v>111</v>
      </c>
      <c r="AA40" s="3852">
        <f t="shared" si="3"/>
        <v>1</v>
      </c>
      <c r="AB40" s="3852">
        <f t="shared" si="4"/>
        <v>1</v>
      </c>
      <c r="AC40" s="3852">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3847">
        <f t="shared" si="13"/>
        <v>111</v>
      </c>
      <c r="R41" s="1384" t="s">
        <v>5</v>
      </c>
      <c r="S41" s="1385">
        <f t="shared" si="9"/>
        <v>100</v>
      </c>
      <c r="T41" s="1384" t="s">
        <v>5</v>
      </c>
      <c r="U41" s="1385">
        <f t="shared" si="10"/>
        <v>100</v>
      </c>
      <c r="V41" s="1384" t="s">
        <v>5</v>
      </c>
      <c r="W41" s="1385">
        <f t="shared" si="11"/>
        <v>100</v>
      </c>
      <c r="X41" s="3849"/>
      <c r="Y41" s="4074"/>
      <c r="Z41" s="3848">
        <f t="shared" si="12"/>
        <v>111</v>
      </c>
      <c r="AA41" s="3852">
        <f t="shared" si="3"/>
        <v>1</v>
      </c>
      <c r="AB41" s="3852">
        <f t="shared" si="4"/>
        <v>1</v>
      </c>
      <c r="AC41" s="3852">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3847">
        <f t="shared" si="13"/>
        <v>111</v>
      </c>
      <c r="R42" s="1388" t="s">
        <v>5</v>
      </c>
      <c r="S42" s="1389">
        <f t="shared" si="9"/>
        <v>100</v>
      </c>
      <c r="T42" s="1388" t="s">
        <v>5</v>
      </c>
      <c r="U42" s="1389">
        <f t="shared" si="10"/>
        <v>100</v>
      </c>
      <c r="V42" s="1388" t="s">
        <v>5</v>
      </c>
      <c r="W42" s="1389">
        <f t="shared" si="11"/>
        <v>100</v>
      </c>
      <c r="X42" s="1390"/>
      <c r="Y42" s="4074"/>
      <c r="Z42" s="1391">
        <f t="shared" si="12"/>
        <v>111</v>
      </c>
      <c r="AA42" s="3852">
        <f t="shared" si="3"/>
        <v>1</v>
      </c>
      <c r="AB42" s="3852">
        <f t="shared" si="4"/>
        <v>1</v>
      </c>
      <c r="AC42" s="3852">
        <f t="shared" si="5"/>
        <v>1</v>
      </c>
    </row>
    <row r="43" spans="1:29" ht="15">
      <c r="A43" s="575" t="s">
        <v>505</v>
      </c>
      <c r="B43" s="576" t="s">
        <v>2195</v>
      </c>
      <c r="C43" s="577" t="s">
        <v>0</v>
      </c>
      <c r="D43" s="578"/>
      <c r="E43" s="579">
        <f>ROUND(新案例整理1024!K8/常用公式!D5,0)</f>
        <v>3977</v>
      </c>
      <c r="F43" s="580"/>
      <c r="G43" s="581">
        <f>ROUND(新案例整理1024!K9/常用公式!D6,0)</f>
        <v>5759</v>
      </c>
      <c r="H43" s="582"/>
      <c r="I43" s="579">
        <f>ROUND(新案例整理1024!K10/常用公式!D7,0)</f>
        <v>6042</v>
      </c>
      <c r="J43" s="582"/>
      <c r="K43" s="1199"/>
      <c r="L43" s="1865"/>
      <c r="M43" s="1855"/>
      <c r="N43" s="1855"/>
      <c r="O43" s="1866"/>
      <c r="P43" s="4069" t="str">
        <f>A43</f>
        <v>成交单价</v>
      </c>
      <c r="Q43" s="4069"/>
      <c r="R43" s="4085">
        <f>E43</f>
        <v>3977</v>
      </c>
      <c r="S43" s="4085"/>
      <c r="T43" s="4085">
        <f>G43</f>
        <v>5759</v>
      </c>
      <c r="U43" s="4085"/>
      <c r="V43" s="4085">
        <f>I43</f>
        <v>6042</v>
      </c>
      <c r="W43" s="4085"/>
      <c r="X43" s="1373"/>
      <c r="Y43" s="1392"/>
      <c r="Z43" s="1373"/>
      <c r="AA43" s="1373"/>
      <c r="AB43" s="1373"/>
      <c r="AC43" s="1373"/>
    </row>
    <row r="44" spans="1:29" ht="15.75" thickBot="1">
      <c r="A44" s="583" t="s">
        <v>1975</v>
      </c>
      <c r="B44" s="584"/>
      <c r="C44" s="585">
        <f>R45</f>
        <v>5726</v>
      </c>
      <c r="D44" s="2755" t="s">
        <v>2259</v>
      </c>
      <c r="E44" s="585">
        <f>R44</f>
        <v>4039</v>
      </c>
      <c r="F44" s="2756"/>
      <c r="G44" s="586">
        <f>T44</f>
        <v>6444</v>
      </c>
      <c r="H44" s="2756"/>
      <c r="I44" s="585">
        <f>V44</f>
        <v>6694</v>
      </c>
      <c r="J44" s="2756"/>
      <c r="K44" s="2757">
        <f>F44+H44+J44</f>
        <v>0</v>
      </c>
      <c r="L44" s="1865"/>
      <c r="M44" s="1855"/>
      <c r="N44" s="1855"/>
      <c r="O44" s="1866"/>
      <c r="P44" s="4069" t="str">
        <f>A44</f>
        <v>比较价格（元/平方米）</v>
      </c>
      <c r="Q44" s="4069"/>
      <c r="R44" s="4093">
        <f>ROUND(PRODUCT(R43,AA9:AA42),0)</f>
        <v>4039</v>
      </c>
      <c r="S44" s="4093"/>
      <c r="T44" s="4093">
        <f>ROUND(PRODUCT(T43,AB9:AB42),0)</f>
        <v>6444</v>
      </c>
      <c r="U44" s="4093"/>
      <c r="V44" s="4093">
        <f>ROUND(PRODUCT(V43,AC9:AC42),0)</f>
        <v>6694</v>
      </c>
      <c r="W44" s="4093"/>
      <c r="X44" s="1373"/>
      <c r="Y44" s="1373"/>
      <c r="Z44" s="1373"/>
      <c r="AA44" s="1373"/>
      <c r="AB44" s="1373"/>
      <c r="AC44" s="1373"/>
    </row>
    <row r="45" spans="1:29" ht="15.75" thickBot="1">
      <c r="A45" s="587" t="s">
        <v>2196</v>
      </c>
      <c r="B45" s="588"/>
      <c r="C45" s="589">
        <f>R45</f>
        <v>5726</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5726</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1.5589640432486895E-2</v>
      </c>
      <c r="F48" s="593" t="str">
        <f>IF(OR(E48&gt;=0.3,E48&lt;=-0.3),"超过30%","")</f>
        <v/>
      </c>
      <c r="G48" s="592">
        <f>IF(G43&lt;G44,G44/G43-1,G43/G44-1)</f>
        <v>0.11894426115645085</v>
      </c>
      <c r="H48" s="593" t="str">
        <f>IF(OR(G48&gt;=0.3,G48&lt;=-0.3),"超过30%","")</f>
        <v/>
      </c>
      <c r="I48" s="592">
        <f>IF(I43&lt;I44,I44/I43-1,I43/I44-1)</f>
        <v>0.10791128765309499</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0.59544441693488492</v>
      </c>
      <c r="F49" s="593" t="str">
        <f>IF(OR(E49&gt;=0.2,E49&lt;=-0.2),"超过20%","")</f>
        <v>超过20%</v>
      </c>
      <c r="G49" s="592">
        <f>IF(G44&lt;I44,I44/G44-1,G44/I44-1)</f>
        <v>3.8795779019242804E-2</v>
      </c>
      <c r="H49" s="593" t="str">
        <f>IF(OR(G49&gt;=0.2,G49&lt;=-0.2),"超过20%","")</f>
        <v/>
      </c>
      <c r="I49" s="592">
        <f>IF(I44&lt;E44,E44/I44-1,I44/E44-1)</f>
        <v>0.65734092597177529</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0.44807643952728182</v>
      </c>
      <c r="F50" s="593" t="str">
        <f>IF(OR(E50&gt;=0.3,E50&lt;=-0.3),"超过30%","")</f>
        <v>超过30%</v>
      </c>
      <c r="G50" s="592">
        <f>IF(G43&lt;I43,I43/G43-1,G43/I43-1)</f>
        <v>4.9140475777044612E-2</v>
      </c>
      <c r="H50" s="593" t="str">
        <f>IF(OR(G50&gt;=0.3,G50&lt;=-0.3),"超过30%","")</f>
        <v/>
      </c>
      <c r="I50" s="592">
        <f>IF(I43&lt;E43,E43/I43-1,I43/E43-1)</f>
        <v>0.51923560472718133</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5726</v>
      </c>
      <c r="C53" s="601">
        <v>1</v>
      </c>
      <c r="D53" s="1945">
        <v>1</v>
      </c>
      <c r="E53" s="601">
        <f>'数据-汇总表'!E8+'数据-汇总表'!E9</f>
        <v>22121.8</v>
      </c>
      <c r="F53" s="1704">
        <f t="shared" ref="F53:F61" si="14">ROUND(B53*E53/10000,0)</f>
        <v>12667</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12667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99.5</v>
      </c>
      <c r="E95" s="645">
        <f>D95-$K27</f>
        <v>99</v>
      </c>
      <c r="F95" s="645">
        <f>E95-$K27</f>
        <v>98.5</v>
      </c>
      <c r="G95" s="645">
        <f>F95-$K27</f>
        <v>98</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99</v>
      </c>
      <c r="E101" s="645">
        <f t="shared" si="24"/>
        <v>98</v>
      </c>
      <c r="F101" s="645">
        <f t="shared" si="24"/>
        <v>97</v>
      </c>
      <c r="G101" s="645">
        <f t="shared" si="24"/>
        <v>96</v>
      </c>
      <c r="H101" s="645">
        <f t="shared" si="24"/>
        <v>95</v>
      </c>
      <c r="I101" s="645">
        <f t="shared" si="24"/>
        <v>94</v>
      </c>
      <c r="J101" s="645">
        <f t="shared" si="24"/>
        <v>93</v>
      </c>
      <c r="K101" s="645">
        <f t="shared" si="24"/>
        <v>92</v>
      </c>
      <c r="L101" s="645">
        <f t="shared" si="24"/>
        <v>91</v>
      </c>
      <c r="M101" s="645">
        <f t="shared" si="24"/>
        <v>90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v>100</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0(含)-20000</v>
      </c>
      <c r="D108" s="670" t="str">
        <f t="shared" si="25"/>
        <v>20000(含)-50000</v>
      </c>
      <c r="E108" s="670" t="str">
        <f t="shared" si="25"/>
        <v>50000(含)-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99</v>
      </c>
      <c r="E110" s="692">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98</v>
      </c>
      <c r="E114" s="645">
        <f t="shared" si="27"/>
        <v>96</v>
      </c>
      <c r="F114" s="645">
        <f t="shared" si="27"/>
        <v>94</v>
      </c>
      <c r="G114" s="645">
        <f t="shared" si="27"/>
        <v>92</v>
      </c>
      <c r="H114" s="645">
        <f t="shared" si="27"/>
        <v>90</v>
      </c>
      <c r="I114" s="645">
        <f t="shared" si="27"/>
        <v>88</v>
      </c>
      <c r="J114" s="645">
        <f t="shared" si="27"/>
        <v>86</v>
      </c>
      <c r="K114" s="645">
        <f t="shared" si="27"/>
        <v>84</v>
      </c>
      <c r="L114" s="645">
        <f t="shared" si="27"/>
        <v>82</v>
      </c>
      <c r="M114" s="646">
        <f t="shared" si="27"/>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97" priority="17" stopIfTrue="1" operator="containsText" text="超过">
      <formula>NOT(ISERROR(SEARCH("超过",F48)))</formula>
    </cfRule>
  </conditionalFormatting>
  <conditionalFormatting sqref="J50">
    <cfRule type="containsText" dxfId="196" priority="16" stopIfTrue="1" operator="containsText" text="超过">
      <formula>NOT(ISERROR(SEARCH("超过",J50)))</formula>
    </cfRule>
  </conditionalFormatting>
  <conditionalFormatting sqref="H50">
    <cfRule type="containsText" dxfId="195" priority="15" stopIfTrue="1" operator="containsText" text="超过">
      <formula>NOT(ISERROR(SEARCH("超过",H50)))</formula>
    </cfRule>
  </conditionalFormatting>
  <conditionalFormatting sqref="F50">
    <cfRule type="containsText" dxfId="194" priority="14" stopIfTrue="1" operator="containsText" text="超过">
      <formula>NOT(ISERROR(SEARCH("超过",F50)))</formula>
    </cfRule>
  </conditionalFormatting>
  <conditionalFormatting sqref="F49 H49 J49">
    <cfRule type="containsText" dxfId="193" priority="13" stopIfTrue="1" operator="containsText" text="超过">
      <formula>NOT(ISERROR(SEARCH("超过",F49)))</formula>
    </cfRule>
  </conditionalFormatting>
  <conditionalFormatting sqref="E48">
    <cfRule type="expression" dxfId="192" priority="12" stopIfTrue="1">
      <formula>$F$48="超过30%"</formula>
    </cfRule>
  </conditionalFormatting>
  <conditionalFormatting sqref="G50">
    <cfRule type="expression" dxfId="191" priority="11" stopIfTrue="1">
      <formula>$H$50="超过30%"</formula>
    </cfRule>
  </conditionalFormatting>
  <conditionalFormatting sqref="E50">
    <cfRule type="expression" dxfId="190" priority="10" stopIfTrue="1">
      <formula>$F$50="超过30%"</formula>
    </cfRule>
  </conditionalFormatting>
  <conditionalFormatting sqref="G48">
    <cfRule type="expression" dxfId="189" priority="9" stopIfTrue="1">
      <formula>$H$48="超过30%"</formula>
    </cfRule>
  </conditionalFormatting>
  <conditionalFormatting sqref="G49">
    <cfRule type="expression" dxfId="188" priority="8" stopIfTrue="1">
      <formula>$H$49="超过20%"</formula>
    </cfRule>
  </conditionalFormatting>
  <conditionalFormatting sqref="I48">
    <cfRule type="expression" dxfId="187" priority="7" stopIfTrue="1">
      <formula>$J$48="超过30%"</formula>
    </cfRule>
  </conditionalFormatting>
  <conditionalFormatting sqref="I49">
    <cfRule type="expression" dxfId="186" priority="6" stopIfTrue="1">
      <formula>$J$49="超过20%"</formula>
    </cfRule>
  </conditionalFormatting>
  <conditionalFormatting sqref="I50">
    <cfRule type="expression" dxfId="185" priority="5" stopIfTrue="1">
      <formula>$J$50="超过30%"</formula>
    </cfRule>
  </conditionalFormatting>
  <conditionalFormatting sqref="E49">
    <cfRule type="expression" dxfId="184" priority="18" stopIfTrue="1">
      <formula>#REF!+$F$49="超过20%"</formula>
    </cfRule>
  </conditionalFormatting>
  <conditionalFormatting sqref="F44">
    <cfRule type="expression" dxfId="183" priority="4">
      <formula>$D$44="简单平均"</formula>
    </cfRule>
  </conditionalFormatting>
  <conditionalFormatting sqref="H44">
    <cfRule type="expression" dxfId="182" priority="3">
      <formula>$D$44="简单平均"</formula>
    </cfRule>
  </conditionalFormatting>
  <conditionalFormatting sqref="J44">
    <cfRule type="expression" dxfId="181" priority="2">
      <formula>$D$44="简单平均"</formula>
    </cfRule>
  </conditionalFormatting>
  <conditionalFormatting sqref="F9:F42 H9:H42 J9:J42">
    <cfRule type="cellIs" dxfId="180" priority="1" operator="notEqual">
      <formula>100</formula>
    </cfRule>
  </conditionalFormatting>
  <dataValidations count="20">
    <dataValidation type="list" allowBlank="1" showInputMessage="1" showErrorMessage="1" sqref="D54:D61" xr:uid="{76083FC5-5943-4A86-8E93-A43B78502656}">
      <formula1>"25%,1"</formula1>
    </dataValidation>
    <dataValidation type="list" allowBlank="1" showInputMessage="1" showErrorMessage="1" sqref="D44" xr:uid="{8F087FBE-B861-48BF-96F8-74F4A9D98D37}">
      <formula1>"简单平均,加权平均"</formula1>
    </dataValidation>
    <dataValidation type="list" allowBlank="1" showInputMessage="1" showErrorMessage="1" sqref="C39 E39 G39 I39" xr:uid="{13F89BEC-30BB-4DB8-9088-6877215398D4}">
      <formula1>套工工程地质条件</formula1>
    </dataValidation>
    <dataValidation type="list" allowBlank="1" showInputMessage="1" showErrorMessage="1" sqref="C38 E38 G38 I38" xr:uid="{6E3F3A52-87FA-4B78-ACEE-C4A49BEB480D}">
      <formula1>套工开发程度</formula1>
    </dataValidation>
    <dataValidation type="list" allowBlank="1" showInputMessage="1" showErrorMessage="1" sqref="C37 E37 G37 I37" xr:uid="{37ABC139-7A38-4B75-8847-84E364875FC3}">
      <formula1>套工宗地形状</formula1>
    </dataValidation>
    <dataValidation type="list" allowBlank="1" showInputMessage="1" showErrorMessage="1" sqref="C31 E31 G31 I31" xr:uid="{F87CB707-E826-4CE1-8B11-F6A69A155D74}">
      <formula1>套工临街等级</formula1>
    </dataValidation>
    <dataValidation type="list" allowBlank="1" showInputMessage="1" showErrorMessage="1" sqref="C28 E28 G28 I28" xr:uid="{83342011-7587-49CE-9A12-8B5D56FE6B4F}">
      <formula1>基础设施水平</formula1>
    </dataValidation>
    <dataValidation type="list" allowBlank="1" showInputMessage="1" showErrorMessage="1" sqref="C18 E18 G18 I18" xr:uid="{D2A96381-37AA-4004-9639-A70213EF6FB1}">
      <formula1>产业集聚程度</formula1>
    </dataValidation>
    <dataValidation type="list" allowBlank="1" showInputMessage="1" showErrorMessage="1" sqref="G59" xr:uid="{F2309767-E80A-439C-807F-8ECDE71A36D1}">
      <formula1>"住宅,工业"</formula1>
    </dataValidation>
    <dataValidation type="list" allowBlank="1" showInputMessage="1" showErrorMessage="1" sqref="G58" xr:uid="{F69F7012-9398-40A2-9A77-32F2E119724B}">
      <formula1>"商业,办公,住宅,工业"</formula1>
    </dataValidation>
    <dataValidation type="list" allowBlank="1" showInputMessage="1" showErrorMessage="1" sqref="C52" xr:uid="{C3CAF558-BFDA-4469-B528-EE11BBAA34C3}">
      <formula1>"北京市系数,其他省市系数"</formula1>
    </dataValidation>
    <dataValidation type="list" allowBlank="1" showInputMessage="1" showErrorMessage="1" sqref="E22 C22 G22 I22" xr:uid="{C9F41361-3879-4D2E-BC54-C56E45AF9251}">
      <formula1>区域土地利用方向</formula1>
    </dataValidation>
    <dataValidation type="list" allowBlank="1" showInputMessage="1" showErrorMessage="1" sqref="C29 E29 G29 I29" xr:uid="{EAD78B6F-D93B-4591-AAD5-EB10C6D61403}">
      <formula1>临街状况</formula1>
    </dataValidation>
    <dataValidation type="list" allowBlank="1" showInputMessage="1" showErrorMessage="1" sqref="I32 E32 G32" xr:uid="{1746EC93-B3FB-4E03-A0C6-F3789EF9D64A}">
      <formula1>套工土地级别</formula1>
    </dataValidation>
    <dataValidation type="list" allowBlank="1" showInputMessage="1" showErrorMessage="1" sqref="C11 E11 G11 I11" xr:uid="{F347F94E-1FDE-4B73-AFFB-A21A27D1D667}">
      <formula1>套工用途</formula1>
    </dataValidation>
    <dataValidation type="list" allowBlank="1" showInputMessage="1" showErrorMessage="1" sqref="C10 E10 G10 I10" xr:uid="{A387897F-BC4B-4414-9F52-363303B7B080}">
      <formula1>套工交易情况</formula1>
    </dataValidation>
    <dataValidation type="list" allowBlank="1" showInputMessage="1" showErrorMessage="1" sqref="E26 C26 I26 G26" xr:uid="{8BA1A771-651A-4B26-B9BC-5055403BCBBD}">
      <formula1>公共配套设施</formula1>
    </dataValidation>
    <dataValidation type="list" allowBlank="1" showInputMessage="1" showErrorMessage="1" sqref="E20 C20 G20 I20" xr:uid="{C2F87D94-CCBB-4F77-A344-F7379A8C56EC}">
      <formula1>交通便捷度</formula1>
    </dataValidation>
    <dataValidation type="list" allowBlank="1" showInputMessage="1" showErrorMessage="1" sqref="C24 E24 G24 I24" xr:uid="{98FE8F75-5EB5-488C-B155-712A56DF2FAF}">
      <formula1>环境</formula1>
    </dataValidation>
    <dataValidation type="list" allowBlank="1" showInputMessage="1" showErrorMessage="1" sqref="B43" xr:uid="{31F89A4B-4A5D-4456-90CF-922F44AB1A7C}">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27"/>
  <sheetViews>
    <sheetView topLeftCell="E1" workbookViewId="0">
      <selection activeCell="J6" sqref="J6"/>
    </sheetView>
  </sheetViews>
  <sheetFormatPr defaultRowHeight="13.5"/>
  <cols>
    <col min="2" max="2" width="40.75" customWidth="1"/>
    <col min="3" max="3" width="9" style="3802"/>
    <col min="9" max="9" width="11.375" bestFit="1" customWidth="1"/>
  </cols>
  <sheetData>
    <row r="1" spans="1:16" ht="27" customHeight="1">
      <c r="A1" s="4109" t="s">
        <v>3289</v>
      </c>
      <c r="B1" s="4109" t="s">
        <v>2146</v>
      </c>
      <c r="C1" s="4109" t="s">
        <v>3425</v>
      </c>
      <c r="D1" s="3707" t="s">
        <v>3426</v>
      </c>
      <c r="E1" s="3708"/>
      <c r="F1" s="4111" t="s">
        <v>3428</v>
      </c>
      <c r="G1" s="4111"/>
      <c r="H1" s="4112" t="s">
        <v>3719</v>
      </c>
      <c r="I1" s="4109" t="s">
        <v>3427</v>
      </c>
      <c r="J1" s="4110" t="s">
        <v>3284</v>
      </c>
      <c r="K1" s="4110" t="s">
        <v>3429</v>
      </c>
    </row>
    <row r="2" spans="1:16" s="2" customFormat="1" ht="81">
      <c r="A2" s="4109"/>
      <c r="B2" s="4109"/>
      <c r="C2" s="4109"/>
      <c r="D2" s="3709" t="str">
        <f>顺义土地案例!K2</f>
        <v>总用地面积（公顷）</v>
      </c>
      <c r="E2" s="3709" t="str">
        <f>顺义土地案例!O2</f>
        <v>建设用地面积（公顷）</v>
      </c>
      <c r="F2" s="3710" t="str">
        <f>顺义土地案例!R2</f>
        <v>征地补偿及相关税费</v>
      </c>
      <c r="G2" s="3710" t="str">
        <f>顺义土地案例!S2</f>
        <v>收购补偿费、房屋征收（拆迁）补偿费及相关费用</v>
      </c>
      <c r="H2" s="4113"/>
      <c r="I2" s="4109"/>
      <c r="J2" s="4110"/>
      <c r="K2" s="4110"/>
    </row>
    <row r="3" spans="1:16" s="3832" customFormat="1">
      <c r="A3" s="3827">
        <v>1</v>
      </c>
      <c r="B3" s="3827" t="str">
        <f>顺义土地案例!F14</f>
        <v xml:space="preserve">顺义区国展预留地剩余地块 土地一级开发项目 </v>
      </c>
      <c r="C3" s="3828" t="s">
        <v>3350</v>
      </c>
      <c r="D3" s="3827">
        <f>顺义土地案例!K14</f>
        <v>12.9</v>
      </c>
      <c r="E3" s="3827">
        <f>顺义土地案例!O14</f>
        <v>10.44</v>
      </c>
      <c r="F3" s="3827">
        <f>顺义土地案例!R14</f>
        <v>5061.88</v>
      </c>
      <c r="G3" s="3827">
        <f>顺义土地案例!S14</f>
        <v>31557.84</v>
      </c>
      <c r="H3" s="3829">
        <f>顺义土地案例!AD14</f>
        <v>0</v>
      </c>
      <c r="I3" s="3830">
        <v>44105</v>
      </c>
      <c r="J3" s="3831">
        <f>ROUND((F3+G3)/D3,1)</f>
        <v>2838.7</v>
      </c>
      <c r="K3" s="3831">
        <f>ROUND(J3*P24*P23*P22*P21*P20*P19*P18*P17*P16*P15*P14,1)</f>
        <v>3041.4</v>
      </c>
    </row>
    <row r="4" spans="1:16" s="3832" customFormat="1">
      <c r="A4" s="3827">
        <v>2</v>
      </c>
      <c r="B4" s="3827" t="str">
        <f>顺义土地案例!F20</f>
        <v>顺义区仁和镇平各庄村B 地块土地一级开发项目</v>
      </c>
      <c r="C4" s="3828" t="s">
        <v>3350</v>
      </c>
      <c r="D4" s="3827">
        <f>顺义土地案例!K20</f>
        <v>36.15</v>
      </c>
      <c r="E4" s="3827">
        <f>顺义土地案例!O20</f>
        <v>16.55</v>
      </c>
      <c r="F4" s="3827">
        <f>顺义土地案例!R20</f>
        <v>41086.400000000001</v>
      </c>
      <c r="G4" s="3827">
        <f>顺义土地案例!S20</f>
        <v>47612.92</v>
      </c>
      <c r="H4" s="3829">
        <f>顺义土地案例!AD20</f>
        <v>0.13029387526745143</v>
      </c>
      <c r="I4" s="3830">
        <v>44652</v>
      </c>
      <c r="J4" s="3831">
        <f>ROUND((F4+G4)/D4,1)</f>
        <v>2453.6</v>
      </c>
      <c r="K4" s="3831">
        <f>ROUND(J4*P15*P18*P17*P16*P14,1)</f>
        <v>2523.1</v>
      </c>
    </row>
    <row r="5" spans="1:16" s="3706" customFormat="1">
      <c r="A5" s="3822">
        <v>3</v>
      </c>
      <c r="B5" s="3822" t="str">
        <f>顺义土地案例!F9</f>
        <v>顺义区M15号线顺西路-府前街站土地一级开发项目</v>
      </c>
      <c r="C5" s="3823" t="s">
        <v>3350</v>
      </c>
      <c r="D5" s="3822">
        <f>顺义土地案例!K9</f>
        <v>151.51</v>
      </c>
      <c r="E5" s="3822">
        <f>顺义土地案例!O9</f>
        <v>103.45</v>
      </c>
      <c r="F5" s="3822">
        <f>顺义土地案例!R9</f>
        <v>78200.91</v>
      </c>
      <c r="G5" s="3822">
        <f>顺义土地案例!S9</f>
        <v>971721.13</v>
      </c>
      <c r="H5" s="3824">
        <f>顺义土地案例!AD9</f>
        <v>0.16022459096076208</v>
      </c>
      <c r="I5" s="3825">
        <v>44713</v>
      </c>
      <c r="J5" s="3826">
        <f>ROUND((F5+G5)/D5,1)</f>
        <v>6929.7</v>
      </c>
      <c r="K5" s="3826">
        <f>ROUND(J5*P15*P18*P17*P16*P14,1)</f>
        <v>7125.9</v>
      </c>
    </row>
    <row r="6" spans="1:16" s="3860" customFormat="1" ht="14.25" customHeight="1">
      <c r="A6" s="4221">
        <v>4</v>
      </c>
      <c r="B6" s="4221" t="str">
        <f>顺义土地案例!F17</f>
        <v>顺义区M15号线后沙峪站ABC地块</v>
      </c>
      <c r="C6" s="4222" t="s">
        <v>3350</v>
      </c>
      <c r="D6" s="4221">
        <f>顺义土地案例!K17</f>
        <v>84.72</v>
      </c>
      <c r="E6" s="4221">
        <f>顺义土地案例!O17</f>
        <v>44.73</v>
      </c>
      <c r="F6" s="4221">
        <f>顺义土地案例!R17</f>
        <v>36436.78</v>
      </c>
      <c r="G6" s="4221">
        <f>顺义土地案例!S17</f>
        <v>98258.5</v>
      </c>
      <c r="H6" s="4223">
        <f>顺义土地案例!AD17</f>
        <v>0.18007912877011065</v>
      </c>
      <c r="I6" s="4224">
        <v>44986</v>
      </c>
      <c r="J6" s="3857">
        <f>ROUND((F6+G6)/D6,1)</f>
        <v>1589.9</v>
      </c>
      <c r="K6" s="3857">
        <f>ROUND(J6*P15*P14,1)</f>
        <v>1608.1</v>
      </c>
    </row>
    <row r="7" spans="1:16" s="3706" customFormat="1">
      <c r="A7" s="3822">
        <v>5</v>
      </c>
      <c r="B7" s="3822" t="str">
        <f>顺义土地案例!F16</f>
        <v>顺义区后沙峪镇后沙峪村A地块</v>
      </c>
      <c r="C7" s="3823" t="s">
        <v>3350</v>
      </c>
      <c r="D7" s="3822">
        <f>顺义土地案例!K16</f>
        <v>29.09</v>
      </c>
      <c r="E7" s="3822">
        <f>顺义土地案例!O16</f>
        <v>21.819299999999998</v>
      </c>
      <c r="F7" s="3822">
        <f>顺义土地案例!R16</f>
        <v>12773.36</v>
      </c>
      <c r="G7" s="3822">
        <f>顺义土地案例!S16</f>
        <v>207435.6</v>
      </c>
      <c r="H7" s="3824">
        <f>顺义土地案例!AD16</f>
        <v>0.17435965912139925</v>
      </c>
      <c r="I7" s="3825">
        <v>44986</v>
      </c>
      <c r="J7" s="3826">
        <f>ROUND((F7+G7)/D7,1)</f>
        <v>7569.9</v>
      </c>
      <c r="K7" s="3826">
        <f>ROUND(J7*P15*P14,1)</f>
        <v>7656.4</v>
      </c>
    </row>
    <row r="8" spans="1:16">
      <c r="A8" s="3708">
        <v>6</v>
      </c>
      <c r="B8" s="3708" t="str">
        <f>顺义土地案例!F3</f>
        <v xml:space="preserve">北京天竺综合保税区保税功能二区工业用地项目
</v>
      </c>
      <c r="C8" s="3799" t="s">
        <v>3350</v>
      </c>
      <c r="D8" s="3708">
        <f>顺义土地案例!K3</f>
        <v>177.34</v>
      </c>
      <c r="E8" s="3708">
        <f>顺义土地案例!O3</f>
        <v>78.44</v>
      </c>
      <c r="F8" s="3708">
        <f>顺义土地案例!R3</f>
        <v>28969.83</v>
      </c>
      <c r="G8" s="3708">
        <f>顺义土地案例!S3</f>
        <v>98344.44</v>
      </c>
      <c r="H8" s="3805">
        <f>顺义土地案例!AD3</f>
        <v>0.21245034300755861</v>
      </c>
      <c r="I8" s="3806">
        <v>44866</v>
      </c>
      <c r="J8" s="3802">
        <f t="shared" ref="J8:J12" si="0">ROUND((F8+G8)/D8,1)</f>
        <v>717.9</v>
      </c>
      <c r="K8" s="3802">
        <f>ROUND(J8*P15*P16*P14,1)</f>
        <v>729.7</v>
      </c>
    </row>
    <row r="9" spans="1:16">
      <c r="A9" s="3708">
        <v>7</v>
      </c>
      <c r="B9" s="3708" t="str">
        <f>顺义土地案例!F4</f>
        <v xml:space="preserve">中关村临空国际高新技术产业基地工业用地
</v>
      </c>
      <c r="C9" s="3799" t="s">
        <v>3350</v>
      </c>
      <c r="D9" s="3708">
        <f>顺义土地案例!K4</f>
        <v>113.57</v>
      </c>
      <c r="E9" s="3708">
        <f>顺义土地案例!O4</f>
        <v>83.53</v>
      </c>
      <c r="F9" s="3708">
        <f>顺义土地案例!R4</f>
        <v>23802.01</v>
      </c>
      <c r="G9" s="3708">
        <f>顺义土地案例!S4</f>
        <v>50480.46</v>
      </c>
      <c r="H9" s="3805">
        <f>顺义土地案例!AD4</f>
        <v>0.12997069134445727</v>
      </c>
      <c r="I9" s="3806">
        <v>44621</v>
      </c>
      <c r="J9" s="3802">
        <f t="shared" si="0"/>
        <v>654.1</v>
      </c>
      <c r="K9" s="3802">
        <f>ROUND(J9*P19*P15*P18*P17*P16*P14,1)</f>
        <v>679.9</v>
      </c>
    </row>
    <row r="10" spans="1:16">
      <c r="A10" s="3708">
        <v>8</v>
      </c>
      <c r="B10" s="3708" t="str">
        <f>顺义土地案例!F5</f>
        <v xml:space="preserve">北京市顺义区空港木林高端制造业基地一期工业用地项目
</v>
      </c>
      <c r="C10" s="3799" t="s">
        <v>3350</v>
      </c>
      <c r="D10" s="3708">
        <f>顺义土地案例!K5</f>
        <v>17.36</v>
      </c>
      <c r="E10" s="3708">
        <f>顺义土地案例!O5</f>
        <v>13.09</v>
      </c>
      <c r="F10" s="3708">
        <f>顺义土地案例!R5</f>
        <v>3173.01</v>
      </c>
      <c r="G10" s="3708">
        <f>顺义土地案例!S5</f>
        <v>644.98</v>
      </c>
      <c r="H10" s="3805">
        <f>顺义土地案例!AD5</f>
        <v>0.23078699879459832</v>
      </c>
      <c r="I10" s="3806">
        <v>44562</v>
      </c>
      <c r="J10" s="3802">
        <f t="shared" si="0"/>
        <v>219.9</v>
      </c>
      <c r="K10" s="3802">
        <f>ROUND(J10*P19*P15*P18*P17*P16*P14,1)</f>
        <v>228.6</v>
      </c>
    </row>
    <row r="11" spans="1:16">
      <c r="A11" s="3708">
        <v>9</v>
      </c>
      <c r="B11" s="3708" t="str">
        <f>顺义土地案例!F6</f>
        <v>顺义新城30街区控规范围内剩余工业用地土地一级开发项目（30-27-02地块）</v>
      </c>
      <c r="C11" s="3799" t="s">
        <v>3350</v>
      </c>
      <c r="D11" s="3708">
        <f>顺义土地案例!K6</f>
        <v>56.75</v>
      </c>
      <c r="E11" s="3708">
        <f>顺义土地案例!O6</f>
        <v>38.92</v>
      </c>
      <c r="F11" s="3708">
        <f>顺义土地案例!R6</f>
        <v>11601.87</v>
      </c>
      <c r="G11" s="3708">
        <f>顺义土地案例!S6</f>
        <v>4320.93</v>
      </c>
      <c r="H11" s="3805">
        <f>顺义土地案例!AD6</f>
        <v>2.9173718916180459E-2</v>
      </c>
      <c r="I11" s="3806">
        <v>44621</v>
      </c>
      <c r="J11" s="3802">
        <f t="shared" si="0"/>
        <v>280.60000000000002</v>
      </c>
      <c r="K11" s="3802">
        <f>ROUND(J11*P14*P16*P19*P18*P17*P15,1)</f>
        <v>291.7</v>
      </c>
    </row>
    <row r="12" spans="1:16">
      <c r="A12" s="3708">
        <v>10</v>
      </c>
      <c r="B12" s="3708" t="str">
        <f>顺义土地案例!F18</f>
        <v>顺义区薛大人庄村剩余1、2号地块</v>
      </c>
      <c r="C12" s="3799" t="s">
        <v>3350</v>
      </c>
      <c r="D12" s="3708">
        <f>顺义土地案例!K18</f>
        <v>24.25</v>
      </c>
      <c r="E12" s="3708">
        <f>顺义土地案例!O18</f>
        <v>7.26</v>
      </c>
      <c r="F12" s="3708">
        <f>顺义土地案例!R18</f>
        <v>3879.88</v>
      </c>
      <c r="G12" s="3708">
        <f>顺义土地案例!S18</f>
        <v>20568.54</v>
      </c>
      <c r="H12" s="3805">
        <f>顺义土地案例!AD18</f>
        <v>1.2334725731683311E-2</v>
      </c>
      <c r="I12" s="3806">
        <v>44621</v>
      </c>
      <c r="J12" s="3802">
        <f t="shared" si="0"/>
        <v>1008.2</v>
      </c>
      <c r="K12" s="3802">
        <f>ROUND(J12*P15*P17*P14*P19*P18*P16,1)</f>
        <v>1047.9000000000001</v>
      </c>
    </row>
    <row r="13" spans="1:16">
      <c r="C13" s="3800"/>
      <c r="N13" s="3335" t="s">
        <v>3249</v>
      </c>
      <c r="O13" s="3395">
        <v>0</v>
      </c>
    </row>
    <row r="14" spans="1:16">
      <c r="N14" s="3335" t="s">
        <v>3250</v>
      </c>
      <c r="O14" s="3395">
        <f>'地价-分区'!H6</f>
        <v>0.43</v>
      </c>
      <c r="P14">
        <f>O14/100+1</f>
        <v>1.0043</v>
      </c>
    </row>
    <row r="15" spans="1:16">
      <c r="N15" s="3336" t="s">
        <v>3255</v>
      </c>
      <c r="O15" s="3399">
        <v>0.71</v>
      </c>
      <c r="P15">
        <f>O15/100+1</f>
        <v>1.0071000000000001</v>
      </c>
    </row>
    <row r="16" spans="1:16">
      <c r="N16" s="3335" t="s">
        <v>2447</v>
      </c>
      <c r="O16" s="3401">
        <v>0.5</v>
      </c>
      <c r="P16">
        <f t="shared" ref="P16:P24" si="1">O16/100+1</f>
        <v>1.0049999999999999</v>
      </c>
    </row>
    <row r="17" spans="1:16">
      <c r="J17" s="3706">
        <f>ROUND(AVERAGE(J3:J7),1)</f>
        <v>4276.3999999999996</v>
      </c>
      <c r="K17" s="3732">
        <f>ROUND(AVERAGE(K3:K7),2)</f>
        <v>4390.9799999999996</v>
      </c>
      <c r="N17" s="3335" t="s">
        <v>2446</v>
      </c>
      <c r="O17" s="3401">
        <v>0.53</v>
      </c>
      <c r="P17">
        <f t="shared" si="1"/>
        <v>1.0053000000000001</v>
      </c>
    </row>
    <row r="18" spans="1:16">
      <c r="A18" s="3708"/>
      <c r="B18" s="3707" t="s">
        <v>3438</v>
      </c>
      <c r="C18" s="3799" t="s">
        <v>3439</v>
      </c>
      <c r="N18" s="3335" t="s">
        <v>2445</v>
      </c>
      <c r="O18" s="3401">
        <v>0.63</v>
      </c>
      <c r="P18">
        <f t="shared" si="1"/>
        <v>1.0063</v>
      </c>
    </row>
    <row r="19" spans="1:16">
      <c r="A19" s="3707" t="s">
        <v>3433</v>
      </c>
      <c r="B19" s="3708">
        <f>J3</f>
        <v>2838.7</v>
      </c>
      <c r="C19" s="3801">
        <f>K3</f>
        <v>3041.4</v>
      </c>
      <c r="N19" s="3335" t="s">
        <v>2444</v>
      </c>
      <c r="O19" s="3401">
        <v>1.08</v>
      </c>
      <c r="P19">
        <f t="shared" si="1"/>
        <v>1.0107999999999999</v>
      </c>
    </row>
    <row r="20" spans="1:16">
      <c r="A20" s="3707" t="s">
        <v>3434</v>
      </c>
      <c r="B20" s="3708">
        <f t="shared" ref="B20:C20" si="2">J4</f>
        <v>2453.6</v>
      </c>
      <c r="C20" s="3801">
        <f t="shared" si="2"/>
        <v>2523.1</v>
      </c>
      <c r="N20" s="3335" t="s">
        <v>2443</v>
      </c>
      <c r="O20" s="3401">
        <v>0.64</v>
      </c>
      <c r="P20">
        <f t="shared" si="1"/>
        <v>1.0064</v>
      </c>
    </row>
    <row r="21" spans="1:16">
      <c r="A21" s="3707" t="s">
        <v>3435</v>
      </c>
      <c r="B21" s="3708">
        <f t="shared" ref="B21:C21" si="3">J5</f>
        <v>6929.7</v>
      </c>
      <c r="C21" s="3801">
        <f t="shared" si="3"/>
        <v>7125.9</v>
      </c>
      <c r="N21" s="3335" t="s">
        <v>2292</v>
      </c>
      <c r="O21" s="3401">
        <v>0.55000000000000004</v>
      </c>
      <c r="P21">
        <f t="shared" si="1"/>
        <v>1.0055000000000001</v>
      </c>
    </row>
    <row r="22" spans="1:16">
      <c r="A22" s="3707" t="s">
        <v>3436</v>
      </c>
      <c r="B22" s="3708">
        <f t="shared" ref="B22:C22" si="4">J6</f>
        <v>1589.9</v>
      </c>
      <c r="C22" s="3801">
        <f t="shared" si="4"/>
        <v>1608.1</v>
      </c>
      <c r="N22" s="3335" t="s">
        <v>2291</v>
      </c>
      <c r="O22" s="3401">
        <v>0.48</v>
      </c>
      <c r="P22">
        <f t="shared" si="1"/>
        <v>1.0047999999999999</v>
      </c>
    </row>
    <row r="23" spans="1:16">
      <c r="A23" s="3707" t="s">
        <v>3437</v>
      </c>
      <c r="B23" s="3708">
        <f t="shared" ref="B23:C23" si="5">J7</f>
        <v>7569.9</v>
      </c>
      <c r="C23" s="3801">
        <f t="shared" si="5"/>
        <v>7656.4</v>
      </c>
      <c r="N23" s="3335" t="s">
        <v>2290</v>
      </c>
      <c r="O23" s="3401">
        <v>1.01</v>
      </c>
      <c r="P23">
        <f t="shared" si="1"/>
        <v>1.0101</v>
      </c>
    </row>
    <row r="24" spans="1:16" ht="14.25" thickBot="1">
      <c r="A24" s="2985"/>
      <c r="N24" s="3337" t="s">
        <v>2289</v>
      </c>
      <c r="O24" s="3404">
        <v>0.36</v>
      </c>
      <c r="P24">
        <f t="shared" si="1"/>
        <v>1.0036</v>
      </c>
    </row>
    <row r="25" spans="1:16" ht="14.25" thickTop="1"/>
    <row r="26" spans="1:16">
      <c r="F26">
        <v>27</v>
      </c>
      <c r="G26">
        <f>POWER(F26,1/3)</f>
        <v>2.9999999999999996</v>
      </c>
    </row>
    <row r="27" spans="1:16">
      <c r="F27">
        <v>0.43</v>
      </c>
      <c r="G27">
        <f>POWER(F27,1/3)</f>
        <v>0.7547842314287575</v>
      </c>
      <c r="H27" s="3744">
        <f>ROUND(G27^2,2)</f>
        <v>0.56999999999999995</v>
      </c>
    </row>
  </sheetData>
  <mergeCells count="8">
    <mergeCell ref="I1:I2"/>
    <mergeCell ref="J1:J2"/>
    <mergeCell ref="K1:K2"/>
    <mergeCell ref="A1:A2"/>
    <mergeCell ref="B1:B2"/>
    <mergeCell ref="C1:C2"/>
    <mergeCell ref="F1:G1"/>
    <mergeCell ref="H1:H2"/>
  </mergeCells>
  <phoneticPr fontId="22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12027.938399999999</v>
      </c>
      <c r="C2" s="3005"/>
      <c r="D2" s="3005"/>
      <c r="E2" s="3005"/>
      <c r="F2" s="3005"/>
      <c r="G2" s="3005"/>
    </row>
    <row r="3" spans="1:25" s="1781" customFormat="1" ht="18" customHeight="1">
      <c r="A3" s="1235" t="s">
        <v>1218</v>
      </c>
      <c r="B3" s="412">
        <f>ROUND(B2*10000/'数据-汇总表'!E3,0)</f>
        <v>5437</v>
      </c>
      <c r="C3" s="3005"/>
      <c r="D3" s="3005"/>
      <c r="E3" s="3005"/>
      <c r="F3" s="3005"/>
      <c r="G3" s="3005"/>
    </row>
    <row r="4" spans="1:25" s="1781" customFormat="1" ht="18" customHeight="1">
      <c r="A4" s="413" t="s">
        <v>428</v>
      </c>
      <c r="B4" s="414">
        <f>ROUND(B2*10000/'数据-汇总表'!D3,0)</f>
        <v>5437</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9676.0753000000004</v>
      </c>
      <c r="D7" s="714"/>
      <c r="E7" s="715"/>
      <c r="F7" s="715"/>
      <c r="G7" s="2126" t="s">
        <v>3302</v>
      </c>
    </row>
    <row r="8" spans="1:25" s="1903" customFormat="1" ht="13.5" customHeight="1">
      <c r="A8" s="2117" t="s">
        <v>1786</v>
      </c>
      <c r="B8" s="2120" t="s">
        <v>1788</v>
      </c>
      <c r="C8" s="3705">
        <f>ROUND(D8*E8/10000,4)</f>
        <v>9676.0753000000004</v>
      </c>
      <c r="D8" s="3008">
        <f>'数据-基础表'!A3</f>
        <v>22121.8</v>
      </c>
      <c r="E8" s="3009">
        <f>'比较法-成本'!C44</f>
        <v>4374</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429.81049999999999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1512.7992999999999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12027.938400000001</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12027.938400000001</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12027.938399999999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12027.938399999999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6" sqref="B6"/>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v>50</v>
      </c>
      <c r="B5" s="3282">
        <f>新案例整理1024!N8</f>
        <v>55794</v>
      </c>
      <c r="C5" s="3284">
        <f>ROUNDDOWN(MIN((B5-B3)/365,A5),2)</f>
        <v>29.09</v>
      </c>
      <c r="D5" s="3286">
        <f>IF(ISERROR(ROUND(POWER(1+E5,A5-C5)*(POWER(1+E5,C5)-1)/(POWER(1+E5,A5)-1),3)),0,ROUND(POWER(1+E5,A5-C5)*(POWER(1+E5,C5)-1)/(POWER(1+E5,A5)-1),4))</f>
        <v>0.83050000000000002</v>
      </c>
      <c r="E5" s="3287">
        <v>0.05</v>
      </c>
      <c r="F5" s="3280"/>
    </row>
    <row r="6" spans="1:6">
      <c r="A6" s="3285">
        <v>50</v>
      </c>
      <c r="B6" s="3282">
        <f>新案例整理1024!N9</f>
        <v>55774</v>
      </c>
      <c r="C6" s="3284">
        <f>ROUNDDOWN(MIN((B6-B3)/365,A6),2)</f>
        <v>29.04</v>
      </c>
      <c r="D6" s="3286">
        <f>IF(ISERROR(ROUND(POWER(1+E6,A6-C6)*(POWER(1+E6,C6)-1)/(POWER(1+E6,A6)-1),3)),0,ROUND(POWER(1+E6,A6-C6)*(POWER(1+E6,C6)-1)/(POWER(1+E6,A6)-1),4))</f>
        <v>0.82989999999999997</v>
      </c>
      <c r="E6" s="3287">
        <v>0.05</v>
      </c>
      <c r="F6" s="3280"/>
    </row>
    <row r="7" spans="1:6">
      <c r="A7" s="3285">
        <v>50</v>
      </c>
      <c r="B7" s="3282">
        <f>新案例整理1024!N10</f>
        <v>53243</v>
      </c>
      <c r="C7" s="3284">
        <f>ROUNDDOWN(MIN((B7-B3)/365,A7),2)</f>
        <v>22.1</v>
      </c>
      <c r="D7" s="3286">
        <f>IF(ISERROR(ROUND(POWER(1+E7,A7-C7)*(POWER(1+E7,C7)-1)/(POWER(1+E7,A7)-1),3)),0,ROUND(POWER(1+E7,A7-C7)*(POWER(1+E7,C7)-1)/(POWER(1+E7,A7)-1),4))</f>
        <v>0.7228</v>
      </c>
      <c r="E7" s="3287">
        <v>0.05</v>
      </c>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9FA4-8C3F-4D7E-852F-5385A74854C5}">
  <sheetPr>
    <tabColor rgb="FF92D050"/>
    <pageSetUpPr fitToPage="1"/>
  </sheetPr>
  <dimension ref="A1:AC261"/>
  <sheetViews>
    <sheetView view="pageBreakPreview" topLeftCell="B22" zoomScale="70" zoomScaleNormal="50" zoomScaleSheetLayoutView="70" workbookViewId="0">
      <selection activeCell="L42" sqref="L4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9676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4374</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4374</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292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77" t="s">
        <v>471</v>
      </c>
      <c r="D6" s="4078"/>
      <c r="E6" s="4099" t="s">
        <v>472</v>
      </c>
      <c r="F6" s="4100"/>
      <c r="G6" s="4077" t="s">
        <v>473</v>
      </c>
      <c r="H6" s="4078"/>
      <c r="I6" s="4077" t="s">
        <v>474</v>
      </c>
      <c r="J6" s="4078"/>
      <c r="K6" s="482" t="s">
        <v>475</v>
      </c>
      <c r="L6" s="1854"/>
      <c r="M6" s="1855"/>
      <c r="N6" s="1855"/>
      <c r="O6" s="1855"/>
      <c r="P6" s="4079" t="s">
        <v>476</v>
      </c>
      <c r="Q6" s="4080"/>
      <c r="R6" s="4063" t="s">
        <v>472</v>
      </c>
      <c r="S6" s="4064"/>
      <c r="T6" s="4063" t="s">
        <v>473</v>
      </c>
      <c r="U6" s="4064"/>
      <c r="V6" s="4085" t="s">
        <v>474</v>
      </c>
      <c r="W6" s="4085"/>
      <c r="X6" s="3796"/>
      <c r="Y6" s="4063" t="s">
        <v>476</v>
      </c>
      <c r="Z6" s="4064"/>
      <c r="AA6" s="4058" t="s">
        <v>472</v>
      </c>
      <c r="AB6" s="4059" t="s">
        <v>473</v>
      </c>
      <c r="AC6" s="4058" t="s">
        <v>474</v>
      </c>
    </row>
    <row r="7" spans="1:29" ht="15">
      <c r="A7" s="483"/>
      <c r="B7" s="484"/>
      <c r="C7" s="4088" t="s">
        <v>2190</v>
      </c>
      <c r="D7" s="4089"/>
      <c r="E7" s="4101" t="str">
        <f>成本案例!B3</f>
        <v xml:space="preserve">顺义区国展预留地剩余地块 土地一级开发项目 </v>
      </c>
      <c r="F7" s="4102"/>
      <c r="G7" s="4088" t="str">
        <f>成本案例!B4</f>
        <v>顺义区仁和镇平各庄村B 地块土地一级开发项目</v>
      </c>
      <c r="H7" s="4089"/>
      <c r="I7" s="4088" t="str">
        <f>成本案例!B5</f>
        <v>顺义区M15号线顺西路-府前街站土地一级开发项目</v>
      </c>
      <c r="J7" s="4089"/>
      <c r="K7" s="482"/>
      <c r="L7" s="1854"/>
      <c r="M7" s="1855"/>
      <c r="N7" s="1855"/>
      <c r="O7" s="1855"/>
      <c r="P7" s="4081"/>
      <c r="Q7" s="4082"/>
      <c r="R7" s="4065"/>
      <c r="S7" s="4066"/>
      <c r="T7" s="4065"/>
      <c r="U7" s="4066"/>
      <c r="V7" s="4085"/>
      <c r="W7" s="4085"/>
      <c r="X7" s="3796"/>
      <c r="Y7" s="4065"/>
      <c r="Z7" s="4066"/>
      <c r="AA7" s="4059"/>
      <c r="AB7" s="4059"/>
      <c r="AC7" s="4059"/>
    </row>
    <row r="8" spans="1:29" ht="15.75" thickBot="1">
      <c r="A8" s="485"/>
      <c r="B8" s="486"/>
      <c r="C8" s="4086" t="s">
        <v>2194</v>
      </c>
      <c r="D8" s="4087"/>
      <c r="E8" s="4103"/>
      <c r="F8" s="4104"/>
      <c r="G8" s="4105"/>
      <c r="H8" s="4087"/>
      <c r="I8" s="4105"/>
      <c r="J8" s="4087"/>
      <c r="K8" s="482" t="s">
        <v>477</v>
      </c>
      <c r="L8" s="1854"/>
      <c r="M8" s="1855"/>
      <c r="N8" s="1855"/>
      <c r="O8" s="1855"/>
      <c r="P8" s="4083"/>
      <c r="Q8" s="4084"/>
      <c r="R8" s="4065"/>
      <c r="S8" s="4066"/>
      <c r="T8" s="4067"/>
      <c r="U8" s="4068"/>
      <c r="V8" s="4085"/>
      <c r="W8" s="4085"/>
      <c r="X8" s="3796"/>
      <c r="Y8" s="4067"/>
      <c r="Z8" s="4068"/>
      <c r="AA8" s="4060"/>
      <c r="AB8" s="4060"/>
      <c r="AC8" s="4060"/>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成本案例!I5</f>
        <v>44713</v>
      </c>
      <c r="J9" s="488">
        <f>SUMIF(66:66,YEAR(I9)&amp;"-"&amp;INT((MONTH(I9)+2)/3),67:67)</f>
        <v>96.21</v>
      </c>
      <c r="K9" s="492"/>
      <c r="L9" s="1856"/>
      <c r="M9" s="1857"/>
      <c r="N9" s="1857"/>
      <c r="O9" s="1857"/>
      <c r="P9" s="4061" t="s">
        <v>479</v>
      </c>
      <c r="Q9" s="4070"/>
      <c r="R9" s="1379" t="s">
        <v>5</v>
      </c>
      <c r="S9" s="1380">
        <f t="shared" ref="S9:S17" si="0">F9</f>
        <v>90.89</v>
      </c>
      <c r="T9" s="1379" t="s">
        <v>5</v>
      </c>
      <c r="U9" s="1380">
        <f t="shared" ref="U9:U17" si="1">H9</f>
        <v>96.21</v>
      </c>
      <c r="V9" s="1379" t="s">
        <v>5</v>
      </c>
      <c r="W9" s="1380">
        <f t="shared" ref="W9:W17" si="2">J9</f>
        <v>96.21</v>
      </c>
      <c r="X9" s="1381"/>
      <c r="Y9" s="4061" t="s">
        <v>479</v>
      </c>
      <c r="Z9" s="4062"/>
      <c r="AA9" s="1382">
        <f>D9/F9</f>
        <v>1.1002310485201892</v>
      </c>
      <c r="AB9" s="1382">
        <f>D9/H9</f>
        <v>1.0393929944912172</v>
      </c>
      <c r="AC9" s="1382">
        <f>D9/J9</f>
        <v>1.0393929944912172</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61" t="s">
        <v>482</v>
      </c>
      <c r="Q10" s="4062"/>
      <c r="R10" s="1379" t="s">
        <v>5</v>
      </c>
      <c r="S10" s="1380">
        <f t="shared" si="0"/>
        <v>100</v>
      </c>
      <c r="T10" s="1379" t="s">
        <v>5</v>
      </c>
      <c r="U10" s="1380">
        <f t="shared" si="1"/>
        <v>100</v>
      </c>
      <c r="V10" s="1379" t="s">
        <v>5</v>
      </c>
      <c r="W10" s="1380">
        <f t="shared" si="2"/>
        <v>100</v>
      </c>
      <c r="X10" s="1381"/>
      <c r="Y10" s="4061" t="s">
        <v>482</v>
      </c>
      <c r="Z10" s="4062"/>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9" t="s">
        <v>484</v>
      </c>
      <c r="Q11" s="3794" t="str">
        <f t="shared" ref="Q11:Q17" si="6">B11</f>
        <v>用途</v>
      </c>
      <c r="R11" s="1379" t="s">
        <v>5</v>
      </c>
      <c r="S11" s="1380">
        <f t="shared" si="0"/>
        <v>100</v>
      </c>
      <c r="T11" s="1379" t="s">
        <v>5</v>
      </c>
      <c r="U11" s="1380">
        <f t="shared" si="1"/>
        <v>100</v>
      </c>
      <c r="V11" s="1379" t="s">
        <v>5</v>
      </c>
      <c r="W11" s="1380">
        <f t="shared" si="2"/>
        <v>100</v>
      </c>
      <c r="X11" s="1381"/>
      <c r="Y11" s="4009" t="s">
        <v>485</v>
      </c>
      <c r="Z11" s="379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9"/>
      <c r="Q12" s="3794" t="str">
        <f t="shared" si="6"/>
        <v>土地使用年限（年）</v>
      </c>
      <c r="R12" s="1379" t="s">
        <v>5</v>
      </c>
      <c r="S12" s="1380">
        <f t="shared" si="0"/>
        <v>100</v>
      </c>
      <c r="T12" s="1379" t="s">
        <v>5</v>
      </c>
      <c r="U12" s="1380">
        <f t="shared" si="1"/>
        <v>100</v>
      </c>
      <c r="V12" s="1379" t="s">
        <v>5</v>
      </c>
      <c r="W12" s="1380">
        <f t="shared" si="2"/>
        <v>100</v>
      </c>
      <c r="X12" s="1381"/>
      <c r="Y12" s="4009"/>
      <c r="Z12" s="379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9"/>
      <c r="Q13" s="3794" t="str">
        <f t="shared" si="6"/>
        <v>容积率</v>
      </c>
      <c r="R13" s="1379" t="s">
        <v>5</v>
      </c>
      <c r="S13" s="1380">
        <f t="shared" si="0"/>
        <v>100</v>
      </c>
      <c r="T13" s="1379" t="s">
        <v>5</v>
      </c>
      <c r="U13" s="1380">
        <f t="shared" si="1"/>
        <v>100</v>
      </c>
      <c r="V13" s="1379" t="s">
        <v>5</v>
      </c>
      <c r="W13" s="1380">
        <f t="shared" si="2"/>
        <v>100</v>
      </c>
      <c r="X13" s="1381"/>
      <c r="Y13" s="4009"/>
      <c r="Z13" s="379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9"/>
      <c r="Q14" s="3794">
        <f t="shared" si="6"/>
        <v>111</v>
      </c>
      <c r="R14" s="1379" t="s">
        <v>5</v>
      </c>
      <c r="S14" s="1380">
        <f t="shared" si="0"/>
        <v>100</v>
      </c>
      <c r="T14" s="1379" t="s">
        <v>5</v>
      </c>
      <c r="U14" s="1380">
        <f t="shared" si="1"/>
        <v>100</v>
      </c>
      <c r="V14" s="1379" t="s">
        <v>5</v>
      </c>
      <c r="W14" s="1380">
        <f t="shared" si="2"/>
        <v>100</v>
      </c>
      <c r="X14" s="1381"/>
      <c r="Y14" s="4009"/>
      <c r="Z14" s="379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9"/>
      <c r="Q15" s="3794">
        <f t="shared" si="6"/>
        <v>111</v>
      </c>
      <c r="R15" s="1379" t="s">
        <v>5</v>
      </c>
      <c r="S15" s="1380">
        <f t="shared" si="0"/>
        <v>100</v>
      </c>
      <c r="T15" s="1379" t="s">
        <v>5</v>
      </c>
      <c r="U15" s="1380">
        <f t="shared" si="1"/>
        <v>100</v>
      </c>
      <c r="V15" s="1379" t="s">
        <v>5</v>
      </c>
      <c r="W15" s="1380">
        <f t="shared" si="2"/>
        <v>100</v>
      </c>
      <c r="X15" s="1381"/>
      <c r="Y15" s="4009"/>
      <c r="Z15" s="379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9"/>
      <c r="Q16" s="3794">
        <f t="shared" si="6"/>
        <v>111</v>
      </c>
      <c r="R16" s="1379" t="s">
        <v>5</v>
      </c>
      <c r="S16" s="1380">
        <f t="shared" si="0"/>
        <v>100</v>
      </c>
      <c r="T16" s="1379" t="s">
        <v>5</v>
      </c>
      <c r="U16" s="1380">
        <f t="shared" si="1"/>
        <v>100</v>
      </c>
      <c r="V16" s="1379" t="s">
        <v>5</v>
      </c>
      <c r="W16" s="1380">
        <f t="shared" si="2"/>
        <v>100</v>
      </c>
      <c r="X16" s="1381"/>
      <c r="Y16" s="4009"/>
      <c r="Z16" s="379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71" t="s">
        <v>489</v>
      </c>
      <c r="Q17" s="3797" t="str">
        <f t="shared" si="6"/>
        <v>产业集聚程度</v>
      </c>
      <c r="R17" s="1384" t="s">
        <v>5</v>
      </c>
      <c r="S17" s="1385">
        <f t="shared" si="0"/>
        <v>100</v>
      </c>
      <c r="T17" s="1384" t="s">
        <v>5</v>
      </c>
      <c r="U17" s="1385">
        <f t="shared" si="1"/>
        <v>100</v>
      </c>
      <c r="V17" s="1384" t="s">
        <v>5</v>
      </c>
      <c r="W17" s="1385">
        <f t="shared" si="2"/>
        <v>100</v>
      </c>
      <c r="X17" s="3796"/>
      <c r="Y17" s="4071" t="s">
        <v>489</v>
      </c>
      <c r="Z17" s="3798" t="str">
        <f t="shared" si="7"/>
        <v>产业集聚程度</v>
      </c>
      <c r="AA17" s="3803">
        <f t="shared" si="3"/>
        <v>1</v>
      </c>
      <c r="AB17" s="3803">
        <f t="shared" si="4"/>
        <v>1</v>
      </c>
      <c r="AC17" s="3803">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72"/>
      <c r="Q18" s="3797"/>
      <c r="R18" s="1384"/>
      <c r="S18" s="1385"/>
      <c r="T18" s="1384"/>
      <c r="U18" s="1385"/>
      <c r="V18" s="1384"/>
      <c r="W18" s="1385"/>
      <c r="X18" s="3796"/>
      <c r="Y18" s="4072"/>
      <c r="Z18" s="3798"/>
      <c r="AA18" s="3803">
        <v>1</v>
      </c>
      <c r="AB18" s="3803">
        <v>1</v>
      </c>
      <c r="AC18" s="3803">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96</v>
      </c>
      <c r="I19" s="532"/>
      <c r="J19" s="527">
        <f>SUMIF(86:86,I20,87:87)-SUMIF(86:86,C20,87:87)+100</f>
        <v>100</v>
      </c>
      <c r="K19" s="503">
        <v>4</v>
      </c>
      <c r="L19" s="1863"/>
      <c r="M19" s="1855"/>
      <c r="N19" s="1855"/>
      <c r="O19" s="1862"/>
      <c r="P19" s="4072"/>
      <c r="Q19" s="3797" t="str">
        <f>B19</f>
        <v>交通便捷度</v>
      </c>
      <c r="R19" s="1384" t="s">
        <v>5</v>
      </c>
      <c r="S19" s="1385">
        <f>F19</f>
        <v>100</v>
      </c>
      <c r="T19" s="1384" t="s">
        <v>5</v>
      </c>
      <c r="U19" s="1385">
        <f>H19</f>
        <v>96</v>
      </c>
      <c r="V19" s="1384" t="s">
        <v>5</v>
      </c>
      <c r="W19" s="1385">
        <f>J19</f>
        <v>100</v>
      </c>
      <c r="X19" s="3796"/>
      <c r="Y19" s="4072"/>
      <c r="Z19" s="3798" t="str">
        <f>Q19</f>
        <v>交通便捷度</v>
      </c>
      <c r="AA19" s="3803">
        <f t="shared" si="3"/>
        <v>1</v>
      </c>
      <c r="AB19" s="3803">
        <f t="shared" si="4"/>
        <v>1.0416666666666667</v>
      </c>
      <c r="AC19" s="3803">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72"/>
      <c r="Q20" s="3797"/>
      <c r="R20" s="1384"/>
      <c r="S20" s="1385"/>
      <c r="T20" s="1384"/>
      <c r="U20" s="1385"/>
      <c r="V20" s="1384"/>
      <c r="W20" s="1385"/>
      <c r="X20" s="3796"/>
      <c r="Y20" s="4072"/>
      <c r="Z20" s="3798"/>
      <c r="AA20" s="3803">
        <v>1</v>
      </c>
      <c r="AB20" s="3803">
        <v>1</v>
      </c>
      <c r="AC20" s="3803">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72"/>
      <c r="Q21" s="3797" t="str">
        <f t="shared" ref="Q21:Q35" si="8">B21</f>
        <v>区域土地利用方向</v>
      </c>
      <c r="R21" s="1384" t="s">
        <v>5</v>
      </c>
      <c r="S21" s="1385">
        <f>F21</f>
        <v>100</v>
      </c>
      <c r="T21" s="1384" t="s">
        <v>5</v>
      </c>
      <c r="U21" s="1385">
        <f>H21</f>
        <v>100</v>
      </c>
      <c r="V21" s="1384" t="s">
        <v>5</v>
      </c>
      <c r="W21" s="1385">
        <f>J21</f>
        <v>100</v>
      </c>
      <c r="X21" s="3796"/>
      <c r="Y21" s="4072"/>
      <c r="Z21" s="3798" t="str">
        <f>Q21</f>
        <v>区域土地利用方向</v>
      </c>
      <c r="AA21" s="3803">
        <f t="shared" si="3"/>
        <v>1</v>
      </c>
      <c r="AB21" s="3803">
        <f t="shared" si="4"/>
        <v>1</v>
      </c>
      <c r="AC21" s="3803">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72"/>
      <c r="Q22" s="3797"/>
      <c r="R22" s="1384"/>
      <c r="S22" s="1385"/>
      <c r="T22" s="1384"/>
      <c r="U22" s="1385"/>
      <c r="V22" s="1384"/>
      <c r="W22" s="1385"/>
      <c r="X22" s="3796"/>
      <c r="Y22" s="4072"/>
      <c r="Z22" s="3798"/>
      <c r="AA22" s="3803"/>
      <c r="AB22" s="3803"/>
      <c r="AC22" s="3803"/>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72"/>
      <c r="Q23" s="3797" t="str">
        <f t="shared" si="8"/>
        <v>环境状况</v>
      </c>
      <c r="R23" s="1384" t="s">
        <v>5</v>
      </c>
      <c r="S23" s="1385">
        <f>F23</f>
        <v>100</v>
      </c>
      <c r="T23" s="1384" t="s">
        <v>5</v>
      </c>
      <c r="U23" s="1385">
        <f>H23</f>
        <v>100</v>
      </c>
      <c r="V23" s="1384" t="s">
        <v>5</v>
      </c>
      <c r="W23" s="1385">
        <f>J23</f>
        <v>100</v>
      </c>
      <c r="X23" s="3796"/>
      <c r="Y23" s="4072"/>
      <c r="Z23" s="3798" t="str">
        <f>Q23</f>
        <v>环境状况</v>
      </c>
      <c r="AA23" s="3803">
        <f t="shared" si="3"/>
        <v>1</v>
      </c>
      <c r="AB23" s="3803">
        <f t="shared" si="4"/>
        <v>1</v>
      </c>
      <c r="AC23" s="3803">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72"/>
      <c r="Q24" s="3797"/>
      <c r="R24" s="1384"/>
      <c r="S24" s="1385"/>
      <c r="T24" s="1384"/>
      <c r="U24" s="1385"/>
      <c r="V24" s="1384"/>
      <c r="W24" s="1385"/>
      <c r="X24" s="3796"/>
      <c r="Y24" s="4072"/>
      <c r="Z24" s="3798"/>
      <c r="AA24" s="3803">
        <v>1</v>
      </c>
      <c r="AB24" s="3803">
        <v>1</v>
      </c>
      <c r="AC24" s="3803">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72"/>
      <c r="Q25" s="3794" t="str">
        <f t="shared" si="8"/>
        <v>公共配套设施</v>
      </c>
      <c r="R25" s="1379" t="s">
        <v>5</v>
      </c>
      <c r="S25" s="1380">
        <f>F25</f>
        <v>100</v>
      </c>
      <c r="T25" s="1379" t="s">
        <v>5</v>
      </c>
      <c r="U25" s="1380">
        <f>H25</f>
        <v>100</v>
      </c>
      <c r="V25" s="1379" t="s">
        <v>5</v>
      </c>
      <c r="W25" s="1380">
        <f>J25</f>
        <v>100</v>
      </c>
      <c r="X25" s="1381"/>
      <c r="Y25" s="4072"/>
      <c r="Z25" s="3793" t="str">
        <f>Q25</f>
        <v>公共配套设施</v>
      </c>
      <c r="AA25" s="3803">
        <f>D25/F25</f>
        <v>1</v>
      </c>
      <c r="AB25" s="3803">
        <f>D25/H25</f>
        <v>1</v>
      </c>
      <c r="AC25" s="3803">
        <f>D25/J25</f>
        <v>1</v>
      </c>
    </row>
    <row r="26" spans="1:29" s="1116" customFormat="1" ht="15">
      <c r="A26" s="545"/>
      <c r="B26" s="563"/>
      <c r="C26" s="2198"/>
      <c r="D26" s="523"/>
      <c r="E26" s="522"/>
      <c r="F26" s="523"/>
      <c r="G26" s="522"/>
      <c r="H26" s="523"/>
      <c r="I26" s="544"/>
      <c r="J26" s="523"/>
      <c r="K26" s="499"/>
      <c r="L26" s="1856"/>
      <c r="M26" s="1857"/>
      <c r="N26" s="1857"/>
      <c r="O26" s="1858"/>
      <c r="P26" s="4072"/>
      <c r="Q26" s="3794"/>
      <c r="R26" s="1379"/>
      <c r="S26" s="1380"/>
      <c r="T26" s="1379"/>
      <c r="U26" s="1380"/>
      <c r="V26" s="1379"/>
      <c r="W26" s="1380"/>
      <c r="X26" s="1381"/>
      <c r="Y26" s="4072"/>
      <c r="Z26" s="379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72"/>
      <c r="Q27" s="3794" t="str">
        <f>B27</f>
        <v>基础设施水平</v>
      </c>
      <c r="R27" s="1379" t="s">
        <v>5</v>
      </c>
      <c r="S27" s="1380">
        <f>F27</f>
        <v>100</v>
      </c>
      <c r="T27" s="1379" t="s">
        <v>5</v>
      </c>
      <c r="U27" s="1380">
        <f>H27</f>
        <v>100</v>
      </c>
      <c r="V27" s="1379" t="s">
        <v>5</v>
      </c>
      <c r="W27" s="1380">
        <f>J27</f>
        <v>100</v>
      </c>
      <c r="X27" s="1381"/>
      <c r="Y27" s="4072"/>
      <c r="Z27" s="3793" t="str">
        <f>Q27</f>
        <v>基础设施水平</v>
      </c>
      <c r="AA27" s="3803">
        <f>D27/F27</f>
        <v>1</v>
      </c>
      <c r="AB27" s="3803">
        <f>D27/H27</f>
        <v>1</v>
      </c>
      <c r="AC27" s="3803">
        <f>D27/J27</f>
        <v>1</v>
      </c>
    </row>
    <row r="28" spans="1:29" s="1116" customFormat="1" ht="15">
      <c r="A28" s="545"/>
      <c r="B28" s="563"/>
      <c r="C28" s="2198"/>
      <c r="D28" s="523"/>
      <c r="E28" s="547"/>
      <c r="F28" s="523"/>
      <c r="G28" s="547"/>
      <c r="H28" s="523"/>
      <c r="I28" s="547"/>
      <c r="J28" s="523"/>
      <c r="K28" s="499"/>
      <c r="L28" s="1856"/>
      <c r="M28" s="1857"/>
      <c r="N28" s="1857"/>
      <c r="O28" s="1858"/>
      <c r="P28" s="4072"/>
      <c r="Q28" s="3794"/>
      <c r="R28" s="1379"/>
      <c r="S28" s="1380"/>
      <c r="T28" s="1379"/>
      <c r="U28" s="1380"/>
      <c r="V28" s="1379"/>
      <c r="W28" s="1380"/>
      <c r="X28" s="1381"/>
      <c r="Y28" s="4072"/>
      <c r="Z28" s="379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72"/>
      <c r="Q29" s="3797" t="str">
        <f t="shared" si="8"/>
        <v>临街状况</v>
      </c>
      <c r="R29" s="1384" t="s">
        <v>5</v>
      </c>
      <c r="S29" s="1385">
        <f t="shared" ref="S29:S42" si="9">F29</f>
        <v>100</v>
      </c>
      <c r="T29" s="1384" t="s">
        <v>5</v>
      </c>
      <c r="U29" s="1385">
        <f t="shared" ref="U29:U42" si="10">H29</f>
        <v>100</v>
      </c>
      <c r="V29" s="1384" t="s">
        <v>5</v>
      </c>
      <c r="W29" s="1385">
        <f t="shared" ref="W29:W42" si="11">J29</f>
        <v>100</v>
      </c>
      <c r="X29" s="3796"/>
      <c r="Y29" s="4072"/>
      <c r="Z29" s="3798" t="str">
        <f t="shared" ref="Z29:Z42" si="12">Q29</f>
        <v>临街状况</v>
      </c>
      <c r="AA29" s="3803">
        <f t="shared" si="3"/>
        <v>1</v>
      </c>
      <c r="AB29" s="3803">
        <f t="shared" si="4"/>
        <v>1</v>
      </c>
      <c r="AC29" s="3803">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72"/>
      <c r="Q30" s="3797" t="str">
        <f t="shared" si="8"/>
        <v>毗邻道路的类型与等级</v>
      </c>
      <c r="R30" s="1384" t="s">
        <v>5</v>
      </c>
      <c r="S30" s="1385">
        <f t="shared" si="9"/>
        <v>100</v>
      </c>
      <c r="T30" s="1384" t="s">
        <v>5</v>
      </c>
      <c r="U30" s="1385">
        <f t="shared" si="10"/>
        <v>100</v>
      </c>
      <c r="V30" s="1384" t="s">
        <v>5</v>
      </c>
      <c r="W30" s="1385">
        <f t="shared" si="11"/>
        <v>100</v>
      </c>
      <c r="X30" s="3796"/>
      <c r="Y30" s="4072"/>
      <c r="Z30" s="3798" t="str">
        <f t="shared" si="12"/>
        <v>毗邻道路的类型与等级</v>
      </c>
      <c r="AA30" s="3803">
        <f t="shared" si="3"/>
        <v>1</v>
      </c>
      <c r="AB30" s="3803">
        <f t="shared" si="4"/>
        <v>1</v>
      </c>
      <c r="AC30" s="3803">
        <f t="shared" si="5"/>
        <v>1</v>
      </c>
    </row>
    <row r="31" spans="1:29" ht="15">
      <c r="A31" s="500"/>
      <c r="B31" s="563"/>
      <c r="C31" s="544"/>
      <c r="D31" s="523"/>
      <c r="E31" s="544"/>
      <c r="F31" s="523"/>
      <c r="G31" s="544"/>
      <c r="H31" s="523"/>
      <c r="I31" s="544"/>
      <c r="J31" s="523"/>
      <c r="K31" s="549"/>
      <c r="L31" s="1863"/>
      <c r="M31" s="1855"/>
      <c r="N31" s="1855"/>
      <c r="O31" s="1862"/>
      <c r="P31" s="4072"/>
      <c r="Q31" s="3797"/>
      <c r="R31" s="1384"/>
      <c r="S31" s="1385"/>
      <c r="T31" s="1384"/>
      <c r="U31" s="1385"/>
      <c r="V31" s="1384"/>
      <c r="W31" s="1385"/>
      <c r="X31" s="3796"/>
      <c r="Y31" s="4072"/>
      <c r="Z31" s="3798"/>
      <c r="AA31" s="3803">
        <v>1</v>
      </c>
      <c r="AB31" s="3803">
        <v>1</v>
      </c>
      <c r="AC31" s="3803">
        <v>1</v>
      </c>
    </row>
    <row r="32" spans="1:29" ht="15">
      <c r="A32" s="500"/>
      <c r="B32" s="495" t="s">
        <v>498</v>
      </c>
      <c r="C32" s="2202" t="str">
        <f>估价对象房地状况!G23</f>
        <v>八级</v>
      </c>
      <c r="D32" s="508">
        <v>100</v>
      </c>
      <c r="E32" s="548" t="s">
        <v>1154</v>
      </c>
      <c r="F32" s="508">
        <f>SUMIF(100:100,E32,101:101)-SUMIF(100:100,C32,101:101)+100</f>
        <v>102</v>
      </c>
      <c r="G32" s="548" t="s">
        <v>1154</v>
      </c>
      <c r="H32" s="508">
        <f>SUMIF(100:100,G32,101:101)-SUMIF(100:100,C32,101:101)+100</f>
        <v>102</v>
      </c>
      <c r="I32" s="548" t="s">
        <v>1154</v>
      </c>
      <c r="J32" s="508">
        <f>SUMIF(100:100,I32,101:101)-SUMIF(100:100,C32,101:101)+100</f>
        <v>102</v>
      </c>
      <c r="K32" s="552">
        <v>2</v>
      </c>
      <c r="L32" s="1863"/>
      <c r="M32" s="1855"/>
      <c r="N32" s="1855"/>
      <c r="O32" s="1862"/>
      <c r="P32" s="4072"/>
      <c r="Q32" s="3797" t="str">
        <f t="shared" si="8"/>
        <v>土地级别</v>
      </c>
      <c r="R32" s="1384" t="s">
        <v>5</v>
      </c>
      <c r="S32" s="1385">
        <f t="shared" si="9"/>
        <v>102</v>
      </c>
      <c r="T32" s="1384" t="s">
        <v>5</v>
      </c>
      <c r="U32" s="1385">
        <f t="shared" si="10"/>
        <v>102</v>
      </c>
      <c r="V32" s="1384" t="s">
        <v>5</v>
      </c>
      <c r="W32" s="1385">
        <f t="shared" si="11"/>
        <v>102</v>
      </c>
      <c r="X32" s="3796"/>
      <c r="Y32" s="4072"/>
      <c r="Z32" s="3798" t="str">
        <f t="shared" si="12"/>
        <v>土地级别</v>
      </c>
      <c r="AA32" s="3803">
        <f t="shared" si="3"/>
        <v>0.98039215686274506</v>
      </c>
      <c r="AB32" s="3803">
        <f t="shared" si="4"/>
        <v>0.98039215686274506</v>
      </c>
      <c r="AC32" s="3803">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72"/>
      <c r="Q33" s="3797">
        <f t="shared" si="8"/>
        <v>111</v>
      </c>
      <c r="R33" s="1384" t="s">
        <v>5</v>
      </c>
      <c r="S33" s="1385">
        <f t="shared" si="9"/>
        <v>100</v>
      </c>
      <c r="T33" s="1384" t="s">
        <v>5</v>
      </c>
      <c r="U33" s="1385">
        <f t="shared" si="10"/>
        <v>100</v>
      </c>
      <c r="V33" s="1384" t="s">
        <v>5</v>
      </c>
      <c r="W33" s="1385">
        <f t="shared" si="11"/>
        <v>100</v>
      </c>
      <c r="X33" s="3796"/>
      <c r="Y33" s="4072"/>
      <c r="Z33" s="3798">
        <f t="shared" si="12"/>
        <v>111</v>
      </c>
      <c r="AA33" s="3803">
        <f t="shared" si="3"/>
        <v>1</v>
      </c>
      <c r="AB33" s="3803">
        <f t="shared" si="4"/>
        <v>1</v>
      </c>
      <c r="AC33" s="380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73" t="s">
        <v>499</v>
      </c>
      <c r="Q34" s="3797">
        <f t="shared" si="8"/>
        <v>111</v>
      </c>
      <c r="R34" s="1384" t="s">
        <v>5</v>
      </c>
      <c r="S34" s="1385">
        <f t="shared" si="9"/>
        <v>100</v>
      </c>
      <c r="T34" s="1384" t="s">
        <v>5</v>
      </c>
      <c r="U34" s="1385">
        <f t="shared" si="10"/>
        <v>100</v>
      </c>
      <c r="V34" s="1384" t="s">
        <v>5</v>
      </c>
      <c r="W34" s="1385">
        <f t="shared" si="11"/>
        <v>100</v>
      </c>
      <c r="X34" s="3796"/>
      <c r="Y34" s="4074" t="s">
        <v>499</v>
      </c>
      <c r="Z34" s="3798">
        <f t="shared" si="12"/>
        <v>111</v>
      </c>
      <c r="AA34" s="3803">
        <f t="shared" si="3"/>
        <v>1</v>
      </c>
      <c r="AB34" s="3803">
        <f t="shared" si="4"/>
        <v>1</v>
      </c>
      <c r="AC34" s="3803">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74"/>
      <c r="Q35" s="3797">
        <f t="shared" si="8"/>
        <v>111</v>
      </c>
      <c r="R35" s="1388" t="s">
        <v>5</v>
      </c>
      <c r="S35" s="1389">
        <f t="shared" si="9"/>
        <v>100</v>
      </c>
      <c r="T35" s="1388" t="s">
        <v>5</v>
      </c>
      <c r="U35" s="1389">
        <f t="shared" si="10"/>
        <v>100</v>
      </c>
      <c r="V35" s="1388" t="s">
        <v>5</v>
      </c>
      <c r="W35" s="1389">
        <f t="shared" si="11"/>
        <v>100</v>
      </c>
      <c r="X35" s="1390"/>
      <c r="Y35" s="4074"/>
      <c r="Z35" s="1391">
        <f t="shared" si="12"/>
        <v>111</v>
      </c>
      <c r="AA35" s="3803">
        <f t="shared" si="3"/>
        <v>1</v>
      </c>
      <c r="AB35" s="3803">
        <f t="shared" si="4"/>
        <v>1</v>
      </c>
      <c r="AC35" s="3803">
        <f t="shared" si="5"/>
        <v>1</v>
      </c>
    </row>
    <row r="36" spans="1:29" ht="15">
      <c r="A36" s="2385" t="s">
        <v>2037</v>
      </c>
      <c r="B36" s="563" t="s">
        <v>501</v>
      </c>
      <c r="C36" s="564">
        <f>'数据-基础表'!A3</f>
        <v>22121.8</v>
      </c>
      <c r="D36" s="565">
        <v>100</v>
      </c>
      <c r="E36" s="564">
        <f>成本案例!D3*10000</f>
        <v>129000</v>
      </c>
      <c r="F36" s="565">
        <f>LOOKUP(E36,109:109,110:110)-LOOKUP(C36,109:109,110:110)+100</f>
        <v>97</v>
      </c>
      <c r="G36" s="564">
        <f>成本案例!D4*10000</f>
        <v>361500</v>
      </c>
      <c r="H36" s="565">
        <f>LOOKUP(G36,109:109,110:110)-LOOKUP(C36,109:109,110:110)+100</f>
        <v>97</v>
      </c>
      <c r="I36" s="566">
        <f>成本案例!D5*10000</f>
        <v>1515100</v>
      </c>
      <c r="J36" s="565">
        <f>LOOKUP(I36,109:109,110:110)-LOOKUP(C36,109:109,110:110)+100</f>
        <v>97</v>
      </c>
      <c r="K36" s="549"/>
      <c r="L36" s="1863"/>
      <c r="M36" s="1855"/>
      <c r="N36" s="1855"/>
      <c r="O36" s="1862"/>
      <c r="P36" s="4074"/>
      <c r="Q36" s="3797" t="str">
        <f>B36</f>
        <v>宗地面积</v>
      </c>
      <c r="R36" s="1384" t="s">
        <v>5</v>
      </c>
      <c r="S36" s="1385">
        <f t="shared" si="9"/>
        <v>97</v>
      </c>
      <c r="T36" s="1384" t="s">
        <v>5</v>
      </c>
      <c r="U36" s="1385">
        <f t="shared" si="10"/>
        <v>97</v>
      </c>
      <c r="V36" s="1384" t="s">
        <v>5</v>
      </c>
      <c r="W36" s="1385">
        <f t="shared" si="11"/>
        <v>97</v>
      </c>
      <c r="X36" s="3796"/>
      <c r="Y36" s="4074"/>
      <c r="Z36" s="3798" t="str">
        <f t="shared" si="12"/>
        <v>宗地面积</v>
      </c>
      <c r="AA36" s="3803">
        <f t="shared" si="3"/>
        <v>1.0309278350515463</v>
      </c>
      <c r="AB36" s="3803">
        <f t="shared" si="4"/>
        <v>1.0309278350515463</v>
      </c>
      <c r="AC36" s="3803">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74"/>
      <c r="Q37" s="3797" t="str">
        <f t="shared" ref="Q37:Q42" si="13">B37</f>
        <v>宗地形状</v>
      </c>
      <c r="R37" s="1384" t="s">
        <v>5</v>
      </c>
      <c r="S37" s="1385">
        <f t="shared" si="9"/>
        <v>100</v>
      </c>
      <c r="T37" s="1384" t="s">
        <v>5</v>
      </c>
      <c r="U37" s="1385">
        <f t="shared" si="10"/>
        <v>100</v>
      </c>
      <c r="V37" s="1384" t="s">
        <v>5</v>
      </c>
      <c r="W37" s="1385">
        <f t="shared" si="11"/>
        <v>100</v>
      </c>
      <c r="X37" s="3796"/>
      <c r="Y37" s="4074"/>
      <c r="Z37" s="3798" t="str">
        <f t="shared" si="12"/>
        <v>宗地形状</v>
      </c>
      <c r="AA37" s="3803">
        <f t="shared" si="3"/>
        <v>1</v>
      </c>
      <c r="AB37" s="3803">
        <f t="shared" si="4"/>
        <v>1</v>
      </c>
      <c r="AC37" s="3803">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74"/>
      <c r="Q38" s="3797" t="str">
        <f t="shared" si="13"/>
        <v>宗地开发程度</v>
      </c>
      <c r="R38" s="1379" t="s">
        <v>5</v>
      </c>
      <c r="S38" s="1380">
        <f t="shared" si="9"/>
        <v>100</v>
      </c>
      <c r="T38" s="1379" t="s">
        <v>5</v>
      </c>
      <c r="U38" s="1380">
        <f t="shared" si="10"/>
        <v>100</v>
      </c>
      <c r="V38" s="1379" t="s">
        <v>5</v>
      </c>
      <c r="W38" s="1380">
        <f t="shared" si="11"/>
        <v>100</v>
      </c>
      <c r="X38" s="1381"/>
      <c r="Y38" s="4074"/>
      <c r="Z38" s="379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74" t="s">
        <v>499</v>
      </c>
      <c r="Q39" s="3797" t="str">
        <f t="shared" si="13"/>
        <v>工程地质条件</v>
      </c>
      <c r="R39" s="1384" t="s">
        <v>5</v>
      </c>
      <c r="S39" s="1385">
        <f t="shared" si="9"/>
        <v>100</v>
      </c>
      <c r="T39" s="1384" t="s">
        <v>5</v>
      </c>
      <c r="U39" s="1385">
        <f t="shared" si="10"/>
        <v>100</v>
      </c>
      <c r="V39" s="1384" t="s">
        <v>5</v>
      </c>
      <c r="W39" s="1385">
        <f t="shared" si="11"/>
        <v>100</v>
      </c>
      <c r="X39" s="3796"/>
      <c r="Y39" s="4074" t="s">
        <v>499</v>
      </c>
      <c r="Z39" s="3798" t="str">
        <f t="shared" si="12"/>
        <v>工程地质条件</v>
      </c>
      <c r="AA39" s="3803">
        <f t="shared" si="3"/>
        <v>1</v>
      </c>
      <c r="AB39" s="3803">
        <f t="shared" si="4"/>
        <v>1</v>
      </c>
      <c r="AC39" s="3803">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74"/>
      <c r="Q40" s="3797">
        <f t="shared" si="13"/>
        <v>111</v>
      </c>
      <c r="R40" s="1384" t="s">
        <v>5</v>
      </c>
      <c r="S40" s="1385">
        <f t="shared" si="9"/>
        <v>100</v>
      </c>
      <c r="T40" s="1384" t="s">
        <v>5</v>
      </c>
      <c r="U40" s="1385">
        <f t="shared" si="10"/>
        <v>100</v>
      </c>
      <c r="V40" s="1384" t="s">
        <v>5</v>
      </c>
      <c r="W40" s="1385">
        <f t="shared" si="11"/>
        <v>100</v>
      </c>
      <c r="X40" s="3796"/>
      <c r="Y40" s="4074"/>
      <c r="Z40" s="3798">
        <f t="shared" si="12"/>
        <v>111</v>
      </c>
      <c r="AA40" s="3803">
        <f t="shared" si="3"/>
        <v>1</v>
      </c>
      <c r="AB40" s="3803">
        <f t="shared" si="4"/>
        <v>1</v>
      </c>
      <c r="AC40" s="3803">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74"/>
      <c r="Q41" s="3797">
        <f t="shared" si="13"/>
        <v>111</v>
      </c>
      <c r="R41" s="1384" t="s">
        <v>5</v>
      </c>
      <c r="S41" s="1385">
        <f t="shared" si="9"/>
        <v>100</v>
      </c>
      <c r="T41" s="1384" t="s">
        <v>5</v>
      </c>
      <c r="U41" s="1385">
        <f t="shared" si="10"/>
        <v>100</v>
      </c>
      <c r="V41" s="1384" t="s">
        <v>5</v>
      </c>
      <c r="W41" s="1385">
        <f t="shared" si="11"/>
        <v>100</v>
      </c>
      <c r="X41" s="3796"/>
      <c r="Y41" s="4074"/>
      <c r="Z41" s="3798">
        <f t="shared" si="12"/>
        <v>111</v>
      </c>
      <c r="AA41" s="3803">
        <f t="shared" si="3"/>
        <v>1</v>
      </c>
      <c r="AB41" s="3803">
        <f t="shared" si="4"/>
        <v>1</v>
      </c>
      <c r="AC41" s="3803">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74"/>
      <c r="Q42" s="3797">
        <f t="shared" si="13"/>
        <v>111</v>
      </c>
      <c r="R42" s="1388" t="s">
        <v>5</v>
      </c>
      <c r="S42" s="1389">
        <f t="shared" si="9"/>
        <v>100</v>
      </c>
      <c r="T42" s="1388" t="s">
        <v>5</v>
      </c>
      <c r="U42" s="1389">
        <f t="shared" si="10"/>
        <v>100</v>
      </c>
      <c r="V42" s="1388" t="s">
        <v>5</v>
      </c>
      <c r="W42" s="1389">
        <f t="shared" si="11"/>
        <v>100</v>
      </c>
      <c r="X42" s="1390"/>
      <c r="Y42" s="4074"/>
      <c r="Z42" s="1391">
        <f t="shared" si="12"/>
        <v>111</v>
      </c>
      <c r="AA42" s="3803">
        <f t="shared" si="3"/>
        <v>1</v>
      </c>
      <c r="AB42" s="3803">
        <f t="shared" si="4"/>
        <v>1</v>
      </c>
      <c r="AC42" s="3803">
        <f t="shared" si="5"/>
        <v>1</v>
      </c>
    </row>
    <row r="43" spans="1:29" ht="15">
      <c r="A43" s="575" t="s">
        <v>505</v>
      </c>
      <c r="B43" s="576" t="s">
        <v>2195</v>
      </c>
      <c r="C43" s="577" t="s">
        <v>0</v>
      </c>
      <c r="D43" s="578"/>
      <c r="E43" s="579">
        <f>成本案例!J3</f>
        <v>2838.7</v>
      </c>
      <c r="F43" s="580"/>
      <c r="G43" s="581">
        <f>成本案例!J4</f>
        <v>2453.6</v>
      </c>
      <c r="H43" s="582"/>
      <c r="I43" s="579">
        <f>成本案例!J5</f>
        <v>6929.7</v>
      </c>
      <c r="J43" s="582"/>
      <c r="K43" s="1199"/>
      <c r="L43" s="1865"/>
      <c r="M43" s="1855"/>
      <c r="N43" s="1855"/>
      <c r="O43" s="1866"/>
      <c r="P43" s="4069" t="str">
        <f>A43</f>
        <v>成交单价</v>
      </c>
      <c r="Q43" s="4069"/>
      <c r="R43" s="4085">
        <f>E43</f>
        <v>2838.7</v>
      </c>
      <c r="S43" s="4085"/>
      <c r="T43" s="4085">
        <f>G43</f>
        <v>2453.6</v>
      </c>
      <c r="U43" s="4085"/>
      <c r="V43" s="4085">
        <f>I43</f>
        <v>6929.7</v>
      </c>
      <c r="W43" s="4085"/>
      <c r="X43" s="1373"/>
      <c r="Y43" s="1392"/>
      <c r="Z43" s="1373"/>
      <c r="AA43" s="1373"/>
      <c r="AB43" s="1373"/>
      <c r="AC43" s="1373"/>
    </row>
    <row r="44" spans="1:29" ht="15.75" thickBot="1">
      <c r="A44" s="583" t="s">
        <v>1975</v>
      </c>
      <c r="B44" s="584"/>
      <c r="C44" s="585">
        <f>R45</f>
        <v>4374</v>
      </c>
      <c r="D44" s="2755" t="s">
        <v>2259</v>
      </c>
      <c r="E44" s="585">
        <f>R44</f>
        <v>3157</v>
      </c>
      <c r="F44" s="2756"/>
      <c r="G44" s="586">
        <f>T44</f>
        <v>2685</v>
      </c>
      <c r="H44" s="2756"/>
      <c r="I44" s="585">
        <f>V44</f>
        <v>7280</v>
      </c>
      <c r="J44" s="2756"/>
      <c r="K44" s="2757">
        <f>F44+H44+J44</f>
        <v>0</v>
      </c>
      <c r="L44" s="1865"/>
      <c r="M44" s="1855"/>
      <c r="N44" s="1855"/>
      <c r="O44" s="1866"/>
      <c r="P44" s="4069" t="str">
        <f>A44</f>
        <v>比较价格（元/平方米）</v>
      </c>
      <c r="Q44" s="4069"/>
      <c r="R44" s="4093">
        <f>ROUND(PRODUCT(R43,AA9:AA42),0)</f>
        <v>3157</v>
      </c>
      <c r="S44" s="4093"/>
      <c r="T44" s="4093">
        <f>ROUND(PRODUCT(T43,AB9:AB42),0)</f>
        <v>2685</v>
      </c>
      <c r="U44" s="4093"/>
      <c r="V44" s="4093">
        <f>ROUND(PRODUCT(V43,AC9:AC42),0)</f>
        <v>7280</v>
      </c>
      <c r="W44" s="4093"/>
      <c r="X44" s="1373"/>
      <c r="Y44" s="1373"/>
      <c r="Z44" s="1373"/>
      <c r="AA44" s="1373"/>
      <c r="AB44" s="1373"/>
      <c r="AC44" s="1373"/>
    </row>
    <row r="45" spans="1:29" ht="15.75" thickBot="1">
      <c r="A45" s="587" t="s">
        <v>2196</v>
      </c>
      <c r="B45" s="588"/>
      <c r="C45" s="589">
        <f>R45</f>
        <v>4374</v>
      </c>
      <c r="D45" s="589"/>
      <c r="E45" s="589"/>
      <c r="F45" s="589"/>
      <c r="G45" s="589"/>
      <c r="H45" s="589"/>
      <c r="I45" s="589"/>
      <c r="J45" s="589"/>
      <c r="K45" s="1200"/>
      <c r="L45" s="1865"/>
      <c r="M45" s="1855"/>
      <c r="N45" s="1855"/>
      <c r="O45" s="1866"/>
      <c r="P45" s="4075" t="str">
        <f>A45</f>
        <v>估价对象XX用房的比较价格（楼面单价，元/平方米）</v>
      </c>
      <c r="Q45" s="4076"/>
      <c r="R45" s="4098">
        <f>ROUND(IF(D44="简单平均",AVERAGE(R44:W44),R44*F44+T44*H44+V44*J44),0)</f>
        <v>4374</v>
      </c>
      <c r="S45" s="4098"/>
      <c r="T45" s="4098"/>
      <c r="U45" s="4098"/>
      <c r="V45" s="4098"/>
      <c r="W45" s="4098"/>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0.11212879134815235</v>
      </c>
      <c r="F48" s="593" t="str">
        <f>IF(OR(E48&gt;=0.3,E48&lt;=-0.3),"超过30%","")</f>
        <v/>
      </c>
      <c r="G48" s="592">
        <f>IF(G43&lt;G44,G44/G43-1,G43/G44-1)</f>
        <v>9.4310401043364855E-2</v>
      </c>
      <c r="H48" s="593" t="str">
        <f>IF(OR(G48&gt;=0.3,G48&lt;=-0.3),"超过30%","")</f>
        <v/>
      </c>
      <c r="I48" s="592">
        <f>IF(I43&lt;I44,I44/I43-1,I43/I44-1)</f>
        <v>5.0550528882924217E-2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0.17579143389199259</v>
      </c>
      <c r="F49" s="593" t="str">
        <f>IF(OR(E49&gt;=0.2,E49&lt;=-0.2),"超过20%","")</f>
        <v/>
      </c>
      <c r="G49" s="592">
        <f>IF(G44&lt;I44,I44/G44-1,G44/I44-1)</f>
        <v>1.7113594040968341</v>
      </c>
      <c r="H49" s="593" t="str">
        <f>IF(OR(G49&gt;=0.2,G49&lt;=-0.2),"超过20%","")</f>
        <v>超过20%</v>
      </c>
      <c r="I49" s="592">
        <f>IF(I44&lt;E44,E44/I44-1,I44/E44-1)</f>
        <v>1.3059866962305988</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1.8242989892403001</v>
      </c>
      <c r="H50" s="593" t="str">
        <f>IF(OR(G50&gt;=0.3,G50&lt;=-0.3),"超过30%","")</f>
        <v>超过30%</v>
      </c>
      <c r="I50" s="592">
        <f>IF(I43&lt;E43,E43/I43-1,I43/E43-1)</f>
        <v>1.4411526402930921</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94" t="s">
        <v>1642</v>
      </c>
      <c r="H52" s="4095"/>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4374</v>
      </c>
      <c r="C53" s="601">
        <v>1</v>
      </c>
      <c r="D53" s="1945">
        <v>1</v>
      </c>
      <c r="E53" s="601">
        <f>'数据-汇总表'!E8+'数据-汇总表'!E9</f>
        <v>22121.8</v>
      </c>
      <c r="F53" s="1704">
        <f t="shared" ref="F53:F61" si="14">ROUND(B53*E53/10000,0)</f>
        <v>9676</v>
      </c>
      <c r="G53" s="4096"/>
      <c r="H53" s="4097"/>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9676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96</v>
      </c>
      <c r="E87" s="645">
        <f>D87-$K19</f>
        <v>92</v>
      </c>
      <c r="F87" s="645">
        <f>E87-$K19</f>
        <v>88</v>
      </c>
      <c r="G87" s="645">
        <f>F87-$K19</f>
        <v>84</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98.5</v>
      </c>
      <c r="E110" s="692">
        <v>97</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43" priority="17" stopIfTrue="1" operator="containsText" text="超过">
      <formula>NOT(ISERROR(SEARCH("超过",F48)))</formula>
    </cfRule>
  </conditionalFormatting>
  <conditionalFormatting sqref="J50">
    <cfRule type="containsText" dxfId="142" priority="16" stopIfTrue="1" operator="containsText" text="超过">
      <formula>NOT(ISERROR(SEARCH("超过",J50)))</formula>
    </cfRule>
  </conditionalFormatting>
  <conditionalFormatting sqref="H50">
    <cfRule type="containsText" dxfId="141" priority="15" stopIfTrue="1" operator="containsText" text="超过">
      <formula>NOT(ISERROR(SEARCH("超过",H50)))</formula>
    </cfRule>
  </conditionalFormatting>
  <conditionalFormatting sqref="F50">
    <cfRule type="containsText" dxfId="140" priority="14" stopIfTrue="1" operator="containsText" text="超过">
      <formula>NOT(ISERROR(SEARCH("超过",F50)))</formula>
    </cfRule>
  </conditionalFormatting>
  <conditionalFormatting sqref="F49 H49 J49">
    <cfRule type="containsText" dxfId="139" priority="13" stopIfTrue="1" operator="containsText" text="超过">
      <formula>NOT(ISERROR(SEARCH("超过",F49)))</formula>
    </cfRule>
  </conditionalFormatting>
  <conditionalFormatting sqref="E48">
    <cfRule type="expression" dxfId="138" priority="12" stopIfTrue="1">
      <formula>$F$48="超过30%"</formula>
    </cfRule>
  </conditionalFormatting>
  <conditionalFormatting sqref="G50">
    <cfRule type="expression" dxfId="137" priority="11"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18"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BE4F573C-0EF3-4327-87DF-4FF34DEE71E4}">
      <formula1>单价内涵</formula1>
    </dataValidation>
    <dataValidation type="list" allowBlank="1" showInputMessage="1" showErrorMessage="1" sqref="C24 E24 G24 I24" xr:uid="{E5F058B6-97D0-413E-AA21-59575586CCE3}">
      <formula1>环境</formula1>
    </dataValidation>
    <dataValidation type="list" allowBlank="1" showInputMessage="1" showErrorMessage="1" sqref="E20 C20 G20 I20" xr:uid="{0DEEA2B0-E3C9-436D-BC90-2FBE443EDA18}">
      <formula1>交通便捷度</formula1>
    </dataValidation>
    <dataValidation type="list" allowBlank="1" showInputMessage="1" showErrorMessage="1" sqref="E26 C26 I26 G26" xr:uid="{F742FFE0-F894-4F97-801E-8E6F6E37FB6C}">
      <formula1>公共配套设施</formula1>
    </dataValidation>
    <dataValidation type="list" allowBlank="1" showInputMessage="1" showErrorMessage="1" sqref="C10 E10 G10 I10" xr:uid="{EE26E0CB-245C-49AE-B2CC-AA1B3C94E355}">
      <formula1>套工交易情况</formula1>
    </dataValidation>
    <dataValidation type="list" allowBlank="1" showInputMessage="1" showErrorMessage="1" sqref="C11 E11 G11 I11" xr:uid="{FECD9062-D072-45C4-931C-C3A4039A8B63}">
      <formula1>套工用途</formula1>
    </dataValidation>
    <dataValidation type="list" allowBlank="1" showInputMessage="1" showErrorMessage="1" sqref="I32 E32 G32" xr:uid="{D20A495F-780C-44A6-B10D-B3DE1DEEFC78}">
      <formula1>套工土地级别</formula1>
    </dataValidation>
    <dataValidation type="list" allowBlank="1" showInputMessage="1" showErrorMessage="1" sqref="C29 E29 G29 I29" xr:uid="{DB159795-1933-4BFD-9888-3FE461A8C14B}">
      <formula1>临街状况</formula1>
    </dataValidation>
    <dataValidation type="list" allowBlank="1" showInputMessage="1" showErrorMessage="1" sqref="E22 C22 G22 I22" xr:uid="{1D473531-0E7E-4135-8D0F-0276AFDD55C7}">
      <formula1>区域土地利用方向</formula1>
    </dataValidation>
    <dataValidation type="list" allowBlank="1" showInputMessage="1" showErrorMessage="1" sqref="C52" xr:uid="{CD2F4A03-DD81-4334-BCDB-34D1DDEB6E7D}">
      <formula1>"北京市系数,其他省市系数"</formula1>
    </dataValidation>
    <dataValidation type="list" allowBlank="1" showInputMessage="1" showErrorMessage="1" sqref="G58" xr:uid="{44706D2E-B4C6-4F92-BC4B-95EF6D80050B}">
      <formula1>"商业,办公,住宅,工业"</formula1>
    </dataValidation>
    <dataValidation type="list" allowBlank="1" showInputMessage="1" showErrorMessage="1" sqref="G59" xr:uid="{7373C580-2832-4B58-A47C-0F78F7199E3C}">
      <formula1>"住宅,工业"</formula1>
    </dataValidation>
    <dataValidation type="list" allowBlank="1" showInputMessage="1" showErrorMessage="1" sqref="C18 E18 G18 I18" xr:uid="{9C8843CB-245C-4160-B9C7-951022A3B517}">
      <formula1>产业集聚程度</formula1>
    </dataValidation>
    <dataValidation type="list" allowBlank="1" showInputMessage="1" showErrorMessage="1" sqref="C28 E28 G28 I28" xr:uid="{68151760-22AD-4A6D-8719-EF00C48D0090}">
      <formula1>基础设施水平</formula1>
    </dataValidation>
    <dataValidation type="list" allowBlank="1" showInputMessage="1" showErrorMessage="1" sqref="C31 E31 G31 I31" xr:uid="{FCA433A3-F19F-443F-98E7-9C0C152C7D95}">
      <formula1>套工临街等级</formula1>
    </dataValidation>
    <dataValidation type="list" allowBlank="1" showInputMessage="1" showErrorMessage="1" sqref="C37 E37 G37 I37" xr:uid="{146929A4-51EF-44CC-8378-1AF6ABA3E157}">
      <formula1>套工宗地形状</formula1>
    </dataValidation>
    <dataValidation type="list" allowBlank="1" showInputMessage="1" showErrorMessage="1" sqref="C38 E38 G38 I38" xr:uid="{63FBA1B6-2B40-4086-B95D-1BDBE3C8756E}">
      <formula1>套工开发程度</formula1>
    </dataValidation>
    <dataValidation type="list" allowBlank="1" showInputMessage="1" showErrorMessage="1" sqref="C39 E39 G39 I39" xr:uid="{18196A01-17CA-4116-9264-DB3B0B6DEE53}">
      <formula1>套工工程地质条件</formula1>
    </dataValidation>
    <dataValidation type="list" allowBlank="1" showInputMessage="1" showErrorMessage="1" sqref="D44" xr:uid="{84DDE831-222A-4DB3-8F07-C41DFED501DA}">
      <formula1>"简单平均,加权平均"</formula1>
    </dataValidation>
    <dataValidation type="list" allowBlank="1" showInputMessage="1" showErrorMessage="1" sqref="D54:D61" xr:uid="{09BDA6CB-3BED-47E4-AF59-65FCFFFF4247}">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C6A0-60AD-4ECF-BB1F-41682CFAD791}">
  <dimension ref="A1:F16"/>
  <sheetViews>
    <sheetView topLeftCell="A4" workbookViewId="0">
      <selection activeCell="F6" sqref="F6:F7"/>
    </sheetView>
  </sheetViews>
  <sheetFormatPr defaultRowHeight="13.5"/>
  <cols>
    <col min="1" max="1" width="6.125" customWidth="1"/>
    <col min="3" max="3" width="10.125" customWidth="1"/>
    <col min="4" max="4" width="26.125" customWidth="1"/>
  </cols>
  <sheetData>
    <row r="1" spans="1:6">
      <c r="A1" s="4107" t="s">
        <v>3861</v>
      </c>
      <c r="B1" s="4107"/>
      <c r="C1" s="4107" t="s">
        <v>3862</v>
      </c>
      <c r="D1" s="4107" t="s">
        <v>3863</v>
      </c>
      <c r="E1" s="4107" t="s">
        <v>3872</v>
      </c>
      <c r="F1" s="4106"/>
    </row>
    <row r="2" spans="1:6" ht="37.5" customHeight="1">
      <c r="A2" s="4107"/>
      <c r="B2" s="4107"/>
      <c r="C2" s="4107"/>
      <c r="D2" s="4107"/>
      <c r="E2" s="3867" t="s">
        <v>3873</v>
      </c>
      <c r="F2" s="3867" t="s">
        <v>3752</v>
      </c>
    </row>
    <row r="3" spans="1:6" ht="25.5">
      <c r="A3" s="4107" t="s">
        <v>3864</v>
      </c>
      <c r="B3" s="4107"/>
      <c r="C3" s="4106">
        <v>20</v>
      </c>
      <c r="D3" s="3868" t="s">
        <v>3874</v>
      </c>
      <c r="E3" s="4106">
        <v>18</v>
      </c>
      <c r="F3" s="4106">
        <v>5</v>
      </c>
    </row>
    <row r="4" spans="1:6" ht="25.5">
      <c r="A4" s="4107"/>
      <c r="B4" s="4107"/>
      <c r="C4" s="4106"/>
      <c r="D4" s="3868" t="s">
        <v>3875</v>
      </c>
      <c r="E4" s="4106"/>
      <c r="F4" s="4106"/>
    </row>
    <row r="5" spans="1:6" ht="25.5">
      <c r="A5" s="4107"/>
      <c r="B5" s="4107"/>
      <c r="C5" s="4106"/>
      <c r="D5" s="3868" t="s">
        <v>3876</v>
      </c>
      <c r="E5" s="4106"/>
      <c r="F5" s="4106"/>
    </row>
    <row r="6" spans="1:6" ht="25.5">
      <c r="A6" s="4107" t="s">
        <v>3865</v>
      </c>
      <c r="B6" s="4107" t="s">
        <v>3866</v>
      </c>
      <c r="C6" s="4106">
        <v>5</v>
      </c>
      <c r="D6" s="3868" t="s">
        <v>3877</v>
      </c>
      <c r="E6" s="4106">
        <v>5</v>
      </c>
      <c r="F6" s="4106">
        <v>3</v>
      </c>
    </row>
    <row r="7" spans="1:6" ht="25.5">
      <c r="A7" s="4107"/>
      <c r="B7" s="4107"/>
      <c r="C7" s="4106"/>
      <c r="D7" s="3868" t="s">
        <v>3878</v>
      </c>
      <c r="E7" s="4106"/>
      <c r="F7" s="4106"/>
    </row>
    <row r="8" spans="1:6" ht="25.5">
      <c r="A8" s="4107"/>
      <c r="B8" s="4107" t="s">
        <v>3867</v>
      </c>
      <c r="C8" s="4106">
        <v>5</v>
      </c>
      <c r="D8" s="3868" t="s">
        <v>3879</v>
      </c>
      <c r="E8" s="4106">
        <v>3</v>
      </c>
      <c r="F8" s="4106">
        <v>3</v>
      </c>
    </row>
    <row r="9" spans="1:6" ht="25.5">
      <c r="A9" s="4107"/>
      <c r="B9" s="4107"/>
      <c r="C9" s="4106"/>
      <c r="D9" s="3868" t="s">
        <v>3880</v>
      </c>
      <c r="E9" s="4106"/>
      <c r="F9" s="4106"/>
    </row>
    <row r="10" spans="1:6" ht="25.5">
      <c r="A10" s="4107"/>
      <c r="B10" s="4107" t="s">
        <v>3868</v>
      </c>
      <c r="C10" s="4106">
        <v>5</v>
      </c>
      <c r="D10" s="3868" t="s">
        <v>3881</v>
      </c>
      <c r="E10" s="4106">
        <v>3</v>
      </c>
      <c r="F10" s="4106">
        <v>3</v>
      </c>
    </row>
    <row r="11" spans="1:6" ht="25.5">
      <c r="A11" s="4107"/>
      <c r="B11" s="4107"/>
      <c r="C11" s="4106"/>
      <c r="D11" s="3868" t="s">
        <v>3882</v>
      </c>
      <c r="E11" s="4106"/>
      <c r="F11" s="4106"/>
    </row>
    <row r="12" spans="1:6" ht="38.25">
      <c r="A12" s="4107" t="s">
        <v>3869</v>
      </c>
      <c r="B12" s="4107"/>
      <c r="C12" s="4106">
        <v>15</v>
      </c>
      <c r="D12" s="3868" t="s">
        <v>3883</v>
      </c>
      <c r="E12" s="4106">
        <v>15</v>
      </c>
      <c r="F12" s="4106">
        <v>5</v>
      </c>
    </row>
    <row r="13" spans="1:6" ht="38.25">
      <c r="A13" s="4107"/>
      <c r="B13" s="4107"/>
      <c r="C13" s="4106"/>
      <c r="D13" s="3868" t="s">
        <v>3884</v>
      </c>
      <c r="E13" s="4106"/>
      <c r="F13" s="4106"/>
    </row>
    <row r="14" spans="1:6" ht="38.25">
      <c r="A14" s="4107"/>
      <c r="B14" s="4107"/>
      <c r="C14" s="4106"/>
      <c r="D14" s="3868" t="s">
        <v>3885</v>
      </c>
      <c r="E14" s="4106"/>
      <c r="F14" s="4106"/>
    </row>
    <row r="15" spans="1:6">
      <c r="A15" s="4107" t="s">
        <v>3870</v>
      </c>
      <c r="B15" s="4107"/>
      <c r="C15" s="3869">
        <v>50</v>
      </c>
      <c r="D15" s="3869" t="s">
        <v>3871</v>
      </c>
      <c r="E15" s="3869">
        <f>SUM(E3:E14)</f>
        <v>44</v>
      </c>
      <c r="F15" s="3869">
        <f>SUM(F3:F14)</f>
        <v>19</v>
      </c>
    </row>
    <row r="16" spans="1:6">
      <c r="A16" s="4107" t="s">
        <v>3820</v>
      </c>
      <c r="B16" s="4107"/>
      <c r="C16" s="4107"/>
      <c r="D16" s="4107"/>
      <c r="E16" s="3870">
        <f>(E15/(E15+F15))</f>
        <v>0.69841269841269837</v>
      </c>
      <c r="F16" s="3870">
        <f>(F15/(E15+F15))</f>
        <v>0.30158730158730157</v>
      </c>
    </row>
  </sheetData>
  <mergeCells count="27">
    <mergeCell ref="A15:B15"/>
    <mergeCell ref="A16:D16"/>
    <mergeCell ref="C10:C11"/>
    <mergeCell ref="E10:E11"/>
    <mergeCell ref="F10:F11"/>
    <mergeCell ref="A12:B14"/>
    <mergeCell ref="C12:C14"/>
    <mergeCell ref="E12:E14"/>
    <mergeCell ref="F12:F14"/>
    <mergeCell ref="A6:A11"/>
    <mergeCell ref="B6:B7"/>
    <mergeCell ref="C6:C7"/>
    <mergeCell ref="E6:E7"/>
    <mergeCell ref="F6:F7"/>
    <mergeCell ref="B8:B9"/>
    <mergeCell ref="C8:C9"/>
    <mergeCell ref="E8:E9"/>
    <mergeCell ref="F8:F9"/>
    <mergeCell ref="B10:B11"/>
    <mergeCell ref="A1:B2"/>
    <mergeCell ref="C1:C2"/>
    <mergeCell ref="D1:D2"/>
    <mergeCell ref="E1:F1"/>
    <mergeCell ref="A3:B5"/>
    <mergeCell ref="C3:C5"/>
    <mergeCell ref="E3:E5"/>
    <mergeCell ref="F3:F5"/>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43E9C-D7DB-4B7F-9F20-A554BE9BAB6A}">
  <dimension ref="A1:D19"/>
  <sheetViews>
    <sheetView topLeftCell="A4" workbookViewId="0">
      <selection activeCell="D27" sqref="D27"/>
    </sheetView>
  </sheetViews>
  <sheetFormatPr defaultRowHeight="13.5"/>
  <cols>
    <col min="1" max="1" width="22.375" customWidth="1"/>
    <col min="2" max="2" width="22.625" customWidth="1"/>
    <col min="3" max="3" width="22.25" customWidth="1"/>
    <col min="4" max="4" width="21.875" customWidth="1"/>
  </cols>
  <sheetData>
    <row r="1" spans="1:4">
      <c r="B1" t="s">
        <v>3791</v>
      </c>
    </row>
    <row r="2" spans="1:4">
      <c r="B2" t="s">
        <v>3792</v>
      </c>
    </row>
    <row r="3" spans="1:4">
      <c r="B3" t="s">
        <v>3793</v>
      </c>
    </row>
    <row r="4" spans="1:4">
      <c r="B4" s="2985" t="s">
        <v>3356</v>
      </c>
      <c r="C4" s="2985" t="s">
        <v>3356</v>
      </c>
      <c r="D4" s="2985" t="s">
        <v>3816</v>
      </c>
    </row>
    <row r="5" spans="1:4">
      <c r="A5" t="s">
        <v>3794</v>
      </c>
      <c r="B5" s="2985" t="s">
        <v>3818</v>
      </c>
      <c r="C5" t="s">
        <v>3795</v>
      </c>
      <c r="D5" t="s">
        <v>3796</v>
      </c>
    </row>
    <row r="6" spans="1:4">
      <c r="A6" s="2985" t="s">
        <v>3808</v>
      </c>
      <c r="B6" s="2985" t="s">
        <v>3817</v>
      </c>
      <c r="C6" s="2985" t="s">
        <v>3817</v>
      </c>
      <c r="D6" t="s">
        <v>3797</v>
      </c>
    </row>
    <row r="7" spans="1:4">
      <c r="A7" t="s">
        <v>3798</v>
      </c>
      <c r="B7" t="s">
        <v>3799</v>
      </c>
      <c r="C7" t="s">
        <v>3799</v>
      </c>
      <c r="D7" t="s">
        <v>3799</v>
      </c>
    </row>
    <row r="8" spans="1:4">
      <c r="A8" s="2985" t="s">
        <v>3809</v>
      </c>
      <c r="B8" s="3853">
        <v>43525</v>
      </c>
      <c r="C8" s="3853">
        <v>43525</v>
      </c>
      <c r="D8" s="3853">
        <v>43983</v>
      </c>
    </row>
    <row r="9" spans="1:4">
      <c r="A9" s="2985" t="s">
        <v>3810</v>
      </c>
      <c r="B9" s="2985" t="s">
        <v>3811</v>
      </c>
      <c r="C9" t="s">
        <v>3800</v>
      </c>
      <c r="D9" t="s">
        <v>3800</v>
      </c>
    </row>
    <row r="10" spans="1:4">
      <c r="A10" t="s">
        <v>3801</v>
      </c>
      <c r="B10" t="s">
        <v>3261</v>
      </c>
      <c r="C10" t="s">
        <v>3261</v>
      </c>
      <c r="D10" t="s">
        <v>3261</v>
      </c>
    </row>
    <row r="11" spans="1:4">
      <c r="A11" s="2985" t="s">
        <v>3812</v>
      </c>
      <c r="B11" t="s">
        <v>905</v>
      </c>
      <c r="C11" t="s">
        <v>905</v>
      </c>
      <c r="D11" t="s">
        <v>905</v>
      </c>
    </row>
    <row r="12" spans="1:4">
      <c r="A12" s="2985" t="s">
        <v>3813</v>
      </c>
      <c r="B12" t="s">
        <v>3802</v>
      </c>
      <c r="C12" t="s">
        <v>3802</v>
      </c>
      <c r="D12" t="s">
        <v>3802</v>
      </c>
    </row>
    <row r="13" spans="1:4">
      <c r="A13" t="s">
        <v>3803</v>
      </c>
      <c r="B13">
        <v>57037.940999999999</v>
      </c>
      <c r="C13">
        <v>63417.17</v>
      </c>
      <c r="D13">
        <v>3586.3</v>
      </c>
    </row>
    <row r="14" spans="1:4">
      <c r="A14" s="2985" t="s">
        <v>3814</v>
      </c>
      <c r="B14">
        <v>4319</v>
      </c>
      <c r="C14">
        <v>4319</v>
      </c>
      <c r="D14">
        <v>4577</v>
      </c>
    </row>
    <row r="15" spans="1:4">
      <c r="A15" s="2985" t="s">
        <v>3815</v>
      </c>
      <c r="B15">
        <v>1</v>
      </c>
      <c r="C15">
        <v>1</v>
      </c>
      <c r="D15">
        <v>1</v>
      </c>
    </row>
    <row r="16" spans="1:4">
      <c r="A16" t="s">
        <v>3804</v>
      </c>
      <c r="B16">
        <v>4319</v>
      </c>
      <c r="C16">
        <v>4319</v>
      </c>
      <c r="D16">
        <v>4577</v>
      </c>
    </row>
    <row r="17" spans="1:4">
      <c r="A17" t="s">
        <v>3805</v>
      </c>
      <c r="B17">
        <v>287.93</v>
      </c>
      <c r="C17">
        <v>287.93</v>
      </c>
      <c r="D17">
        <v>305.13</v>
      </c>
    </row>
    <row r="18" spans="1:4">
      <c r="A18" t="s">
        <v>3806</v>
      </c>
      <c r="B18" s="4108">
        <v>4183</v>
      </c>
      <c r="C18" s="4108"/>
      <c r="D18" s="4108"/>
    </row>
    <row r="19" spans="1:4">
      <c r="A19" t="s">
        <v>3807</v>
      </c>
      <c r="B19" s="4108">
        <v>278.87</v>
      </c>
      <c r="C19" s="4108"/>
      <c r="D19" s="4108"/>
    </row>
  </sheetData>
  <mergeCells count="2">
    <mergeCell ref="B18:D18"/>
    <mergeCell ref="B19:D19"/>
  </mergeCells>
  <phoneticPr fontId="22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007-D0E0-44D5-A917-2EA4480EDB10}">
  <dimension ref="A1:L14"/>
  <sheetViews>
    <sheetView topLeftCell="C1" workbookViewId="0">
      <selection sqref="A1:L15"/>
    </sheetView>
  </sheetViews>
  <sheetFormatPr defaultRowHeight="13.5"/>
  <cols>
    <col min="1" max="1" width="5.75" customWidth="1"/>
    <col min="2" max="2" width="41.875" customWidth="1"/>
    <col min="4" max="4" width="17" customWidth="1"/>
    <col min="7" max="7" width="6.625" customWidth="1"/>
    <col min="10" max="10" width="13.875" customWidth="1"/>
  </cols>
  <sheetData>
    <row r="1" spans="1:12">
      <c r="A1" s="3808" t="s">
        <v>3289</v>
      </c>
      <c r="B1" s="3808" t="s">
        <v>3749</v>
      </c>
      <c r="C1" s="3808" t="s">
        <v>3750</v>
      </c>
      <c r="D1" s="3808" t="s">
        <v>3743</v>
      </c>
      <c r="E1" s="3808" t="s">
        <v>3744</v>
      </c>
      <c r="F1" s="3808" t="s">
        <v>2717</v>
      </c>
      <c r="G1" s="3808" t="s">
        <v>3741</v>
      </c>
      <c r="H1" s="3808" t="s">
        <v>3748</v>
      </c>
      <c r="I1" s="3808" t="s">
        <v>3747</v>
      </c>
      <c r="J1" s="3808" t="s">
        <v>3745</v>
      </c>
      <c r="K1" s="3808" t="s">
        <v>3742</v>
      </c>
      <c r="L1" s="3808" t="s">
        <v>3746</v>
      </c>
    </row>
    <row r="2" spans="1:12" s="3744" customFormat="1">
      <c r="A2" s="3809">
        <v>1</v>
      </c>
      <c r="B2" s="3809" t="s">
        <v>3727</v>
      </c>
      <c r="C2" s="3809" t="s">
        <v>3728</v>
      </c>
      <c r="D2" s="3810">
        <v>44136</v>
      </c>
      <c r="E2" s="3809" t="s">
        <v>3261</v>
      </c>
      <c r="F2" s="3809" t="s">
        <v>905</v>
      </c>
      <c r="G2" s="3809">
        <v>1</v>
      </c>
      <c r="H2" s="3809">
        <v>1280.1199999999999</v>
      </c>
      <c r="I2" s="3809">
        <v>676.3</v>
      </c>
      <c r="J2" s="3809" t="s">
        <v>3729</v>
      </c>
      <c r="K2" s="3809">
        <v>5102</v>
      </c>
      <c r="L2" s="3809">
        <v>11391</v>
      </c>
    </row>
    <row r="3" spans="1:12">
      <c r="A3" s="1579">
        <v>2</v>
      </c>
      <c r="B3" s="1579" t="s">
        <v>3730</v>
      </c>
      <c r="C3" s="1579" t="s">
        <v>3731</v>
      </c>
      <c r="D3" s="1579">
        <v>2019.9</v>
      </c>
      <c r="E3" s="1579" t="s">
        <v>2742</v>
      </c>
      <c r="F3" s="1579" t="s">
        <v>905</v>
      </c>
      <c r="G3" s="1579">
        <v>1</v>
      </c>
      <c r="H3" s="1579">
        <v>51695.88</v>
      </c>
      <c r="I3" s="1579">
        <v>37934.97</v>
      </c>
      <c r="J3" s="1579" t="s">
        <v>3732</v>
      </c>
      <c r="K3" s="1579">
        <v>4553</v>
      </c>
      <c r="L3" s="1579">
        <v>6053</v>
      </c>
    </row>
    <row r="4" spans="1:12">
      <c r="A4" s="1579">
        <v>3</v>
      </c>
      <c r="B4" s="1579" t="s">
        <v>3730</v>
      </c>
      <c r="C4" s="1579" t="s">
        <v>3731</v>
      </c>
      <c r="D4" s="1579">
        <v>2019.9</v>
      </c>
      <c r="E4" s="1579" t="s">
        <v>2742</v>
      </c>
      <c r="F4" s="1579" t="s">
        <v>905</v>
      </c>
      <c r="G4" s="1579">
        <v>1</v>
      </c>
      <c r="H4" s="1579">
        <v>73055.86</v>
      </c>
      <c r="I4" s="1579">
        <v>28939.34</v>
      </c>
      <c r="J4" s="1579" t="s">
        <v>3732</v>
      </c>
      <c r="K4" s="1579">
        <v>4554</v>
      </c>
      <c r="L4" s="1579">
        <v>6225</v>
      </c>
    </row>
    <row r="5" spans="1:12">
      <c r="A5" s="1579">
        <v>4</v>
      </c>
      <c r="B5" s="1579" t="s">
        <v>3733</v>
      </c>
      <c r="C5" s="1579" t="s">
        <v>3731</v>
      </c>
      <c r="D5" s="1579" t="s">
        <v>3734</v>
      </c>
      <c r="E5" s="1579" t="s">
        <v>2742</v>
      </c>
      <c r="F5" s="1579" t="s">
        <v>905</v>
      </c>
      <c r="G5" s="1579">
        <v>1</v>
      </c>
      <c r="H5" s="1579">
        <v>1006.47</v>
      </c>
      <c r="I5" s="1579"/>
      <c r="J5" s="1579" t="s">
        <v>3732</v>
      </c>
      <c r="K5" s="1579">
        <v>4482</v>
      </c>
      <c r="L5" s="1579">
        <v>4482</v>
      </c>
    </row>
    <row r="6" spans="1:12" s="3744" customFormat="1">
      <c r="A6" s="3809">
        <v>5</v>
      </c>
      <c r="B6" s="3815" t="s">
        <v>3760</v>
      </c>
      <c r="C6" s="3809" t="s">
        <v>3731</v>
      </c>
      <c r="D6" s="3810">
        <v>43540</v>
      </c>
      <c r="E6" s="3809" t="s">
        <v>3261</v>
      </c>
      <c r="F6" s="3809" t="s">
        <v>905</v>
      </c>
      <c r="G6" s="3809">
        <v>1</v>
      </c>
      <c r="H6" s="3809">
        <v>2786.4</v>
      </c>
      <c r="I6" s="3809">
        <v>218.75</v>
      </c>
      <c r="J6" s="3809" t="s">
        <v>3732</v>
      </c>
      <c r="K6" s="3809">
        <v>4482</v>
      </c>
      <c r="L6" s="3809">
        <v>4482</v>
      </c>
    </row>
    <row r="7" spans="1:12">
      <c r="A7" s="1579">
        <v>6</v>
      </c>
      <c r="B7" s="1579" t="s">
        <v>3735</v>
      </c>
      <c r="C7" s="1579" t="s">
        <v>3731</v>
      </c>
      <c r="D7" s="1579" t="s">
        <v>3734</v>
      </c>
      <c r="E7" s="1579" t="s">
        <v>2742</v>
      </c>
      <c r="F7" s="1579" t="s">
        <v>905</v>
      </c>
      <c r="G7" s="1579">
        <v>1</v>
      </c>
      <c r="H7" s="1579">
        <v>2686.44</v>
      </c>
      <c r="I7" s="1579">
        <v>71.849999999999994</v>
      </c>
      <c r="J7" s="1579" t="s">
        <v>3732</v>
      </c>
      <c r="K7" s="1579">
        <v>4571</v>
      </c>
      <c r="L7" s="1579">
        <v>4571</v>
      </c>
    </row>
    <row r="8" spans="1:12">
      <c r="A8" s="1579">
        <v>7</v>
      </c>
      <c r="B8" s="1579" t="s">
        <v>3736</v>
      </c>
      <c r="C8" s="1579" t="s">
        <v>3731</v>
      </c>
      <c r="D8" s="1579" t="s">
        <v>3734</v>
      </c>
      <c r="E8" s="1579" t="s">
        <v>3261</v>
      </c>
      <c r="F8" s="1579" t="s">
        <v>905</v>
      </c>
      <c r="G8" s="1579">
        <v>1</v>
      </c>
      <c r="H8" s="1579">
        <v>539.16</v>
      </c>
      <c r="I8" s="1579">
        <v>359.51</v>
      </c>
      <c r="J8" s="1579" t="s">
        <v>3732</v>
      </c>
      <c r="K8" s="1579">
        <v>4529</v>
      </c>
      <c r="L8" s="1579">
        <v>4529</v>
      </c>
    </row>
    <row r="9" spans="1:12">
      <c r="A9" s="1579">
        <v>8</v>
      </c>
      <c r="B9" s="1579" t="s">
        <v>3737</v>
      </c>
      <c r="C9" s="1579" t="s">
        <v>3728</v>
      </c>
      <c r="D9" s="1579">
        <v>2020.5</v>
      </c>
      <c r="E9" s="1579" t="s">
        <v>2742</v>
      </c>
      <c r="F9" s="1579" t="s">
        <v>905</v>
      </c>
      <c r="G9" s="1579">
        <v>1</v>
      </c>
      <c r="H9" s="1579">
        <v>26400</v>
      </c>
      <c r="I9" s="1579">
        <v>20831.54</v>
      </c>
      <c r="J9" s="1579" t="s">
        <v>3738</v>
      </c>
      <c r="K9" s="1579"/>
      <c r="L9" s="1579">
        <v>8852</v>
      </c>
    </row>
    <row r="10" spans="1:12">
      <c r="A10" s="1579">
        <v>9</v>
      </c>
      <c r="B10" s="1579" t="s">
        <v>3737</v>
      </c>
      <c r="C10" s="1579" t="s">
        <v>3728</v>
      </c>
      <c r="D10" s="1579">
        <v>2020.4</v>
      </c>
      <c r="E10" s="1579" t="s">
        <v>2742</v>
      </c>
      <c r="F10" s="1579" t="s">
        <v>905</v>
      </c>
      <c r="G10" s="1579">
        <v>1</v>
      </c>
      <c r="H10" s="1579">
        <v>6659.9</v>
      </c>
      <c r="I10" s="1579">
        <v>5017.84</v>
      </c>
      <c r="J10" s="1579" t="s">
        <v>3738</v>
      </c>
      <c r="K10" s="1579"/>
      <c r="L10" s="1579">
        <v>9445</v>
      </c>
    </row>
    <row r="11" spans="1:12">
      <c r="A11" s="1579">
        <v>10</v>
      </c>
      <c r="B11" s="1579" t="s">
        <v>3737</v>
      </c>
      <c r="C11" s="1579" t="s">
        <v>3728</v>
      </c>
      <c r="D11" s="1579">
        <v>2020.4</v>
      </c>
      <c r="E11" s="1579" t="s">
        <v>2742</v>
      </c>
      <c r="F11" s="1579" t="s">
        <v>905</v>
      </c>
      <c r="G11" s="1579">
        <v>1</v>
      </c>
      <c r="H11" s="1579">
        <v>5520</v>
      </c>
      <c r="I11" s="1579">
        <v>4540.2700000000004</v>
      </c>
      <c r="J11" s="1579" t="s">
        <v>3738</v>
      </c>
      <c r="K11" s="1579"/>
      <c r="L11" s="1579">
        <v>8898</v>
      </c>
    </row>
    <row r="12" spans="1:12">
      <c r="A12" s="1579">
        <v>11</v>
      </c>
      <c r="B12" s="1579" t="s">
        <v>3737</v>
      </c>
      <c r="C12" s="1579" t="s">
        <v>3728</v>
      </c>
      <c r="D12" s="1579">
        <v>2021.9</v>
      </c>
      <c r="E12" s="1579" t="s">
        <v>2742</v>
      </c>
      <c r="F12" s="1579" t="s">
        <v>905</v>
      </c>
      <c r="G12" s="1579">
        <v>1</v>
      </c>
      <c r="H12" s="1579">
        <v>5320</v>
      </c>
      <c r="I12" s="1579">
        <v>4210.51</v>
      </c>
      <c r="J12" s="1579" t="s">
        <v>3738</v>
      </c>
      <c r="K12" s="1579"/>
      <c r="L12" s="1579">
        <v>8363</v>
      </c>
    </row>
    <row r="13" spans="1:12" s="3744" customFormat="1">
      <c r="A13" s="3809">
        <v>12</v>
      </c>
      <c r="B13" s="3809" t="s">
        <v>3739</v>
      </c>
      <c r="C13" s="3809" t="s">
        <v>3731</v>
      </c>
      <c r="D13" s="3810">
        <v>43525</v>
      </c>
      <c r="E13" s="3809" t="s">
        <v>3261</v>
      </c>
      <c r="F13" s="3809" t="s">
        <v>905</v>
      </c>
      <c r="G13" s="3809">
        <v>1</v>
      </c>
      <c r="H13" s="3809">
        <v>526.52</v>
      </c>
      <c r="I13" s="3809">
        <v>31.66</v>
      </c>
      <c r="J13" s="3809" t="s">
        <v>3740</v>
      </c>
      <c r="K13" s="3809">
        <v>4571</v>
      </c>
      <c r="L13" s="3809">
        <v>4749</v>
      </c>
    </row>
    <row r="14" spans="1:12">
      <c r="A14" s="1579">
        <v>13</v>
      </c>
      <c r="B14" s="1579" t="s">
        <v>3739</v>
      </c>
      <c r="C14" s="1579" t="s">
        <v>3731</v>
      </c>
      <c r="D14" s="1579">
        <v>2019.3</v>
      </c>
      <c r="E14" s="1579" t="s">
        <v>3261</v>
      </c>
      <c r="F14" s="1579" t="s">
        <v>905</v>
      </c>
      <c r="G14" s="1579">
        <v>1</v>
      </c>
      <c r="H14" s="1579">
        <v>515.41999999999996</v>
      </c>
      <c r="I14" s="1579">
        <v>0</v>
      </c>
      <c r="J14" s="1579" t="s">
        <v>3740</v>
      </c>
      <c r="K14" s="1579">
        <v>4571</v>
      </c>
      <c r="L14" s="1579">
        <v>4691</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V16"/>
  <sheetViews>
    <sheetView topLeftCell="A46" zoomScale="85" zoomScaleNormal="85" workbookViewId="0">
      <selection activeCell="A56" sqref="A56"/>
    </sheetView>
  </sheetViews>
  <sheetFormatPr defaultRowHeight="13.5"/>
  <cols>
    <col min="1" max="1" width="6.75" customWidth="1"/>
    <col min="2" max="2" width="0" hidden="1" customWidth="1"/>
    <col min="3" max="3" width="15.875" customWidth="1"/>
    <col min="4" max="4" width="0" hidden="1" customWidth="1"/>
    <col min="5" max="5" width="9" customWidth="1"/>
    <col min="8" max="8" width="9" customWidth="1"/>
    <col min="10" max="10" width="13.625" customWidth="1"/>
    <col min="11" max="11" width="9" customWidth="1"/>
    <col min="14" max="15" width="0" hidden="1" customWidth="1"/>
    <col min="16" max="16" width="10.625" bestFit="1" customWidth="1"/>
  </cols>
  <sheetData>
    <row r="1" spans="1:22" ht="28.5">
      <c r="A1" s="4114" t="s">
        <v>1729</v>
      </c>
      <c r="B1" s="4114" t="s">
        <v>3454</v>
      </c>
      <c r="C1" s="4114" t="s">
        <v>1548</v>
      </c>
      <c r="D1" s="4114" t="s">
        <v>3455</v>
      </c>
      <c r="E1" s="4114" t="s">
        <v>3456</v>
      </c>
      <c r="F1" s="4114" t="s">
        <v>3457</v>
      </c>
      <c r="G1" s="4114" t="s">
        <v>3720</v>
      </c>
      <c r="H1" s="4114" t="s">
        <v>3458</v>
      </c>
      <c r="I1" s="4114" t="s">
        <v>3441</v>
      </c>
      <c r="J1" s="4114" t="s">
        <v>3442</v>
      </c>
      <c r="K1" s="3734" t="s">
        <v>3459</v>
      </c>
      <c r="L1" s="4114" t="s">
        <v>3461</v>
      </c>
      <c r="M1" s="3737"/>
      <c r="N1" s="4114" t="s">
        <v>3462</v>
      </c>
      <c r="O1" s="3734" t="s">
        <v>3463</v>
      </c>
      <c r="P1" s="3769"/>
      <c r="Q1" s="4114" t="s">
        <v>3465</v>
      </c>
      <c r="R1" s="4114" t="s">
        <v>3490</v>
      </c>
      <c r="T1" s="4110" t="s">
        <v>3321</v>
      </c>
      <c r="U1" s="4110" t="s">
        <v>3507</v>
      </c>
    </row>
    <row r="2" spans="1:22" ht="15" thickBot="1">
      <c r="A2" s="4115"/>
      <c r="B2" s="4115"/>
      <c r="C2" s="4115"/>
      <c r="D2" s="4115"/>
      <c r="E2" s="4115"/>
      <c r="F2" s="4115"/>
      <c r="G2" s="4115"/>
      <c r="H2" s="4115"/>
      <c r="I2" s="4115"/>
      <c r="J2" s="4115"/>
      <c r="K2" s="3735" t="s">
        <v>3460</v>
      </c>
      <c r="L2" s="4115"/>
      <c r="M2" s="3738"/>
      <c r="N2" s="4115"/>
      <c r="O2" s="3735" t="s">
        <v>3464</v>
      </c>
      <c r="P2" s="3770"/>
      <c r="Q2" s="4115"/>
      <c r="R2" s="4115"/>
      <c r="T2" s="4108"/>
      <c r="U2" s="4116"/>
    </row>
    <row r="3" spans="1:22" ht="58.5" thickTop="1" thickBot="1">
      <c r="A3" s="3723"/>
      <c r="B3" s="3723" t="s">
        <v>3492</v>
      </c>
      <c r="C3" s="3723" t="s">
        <v>3491</v>
      </c>
      <c r="D3" s="3723"/>
      <c r="E3" s="3723">
        <v>94169.78</v>
      </c>
      <c r="F3" s="3723">
        <v>141254.67000000001</v>
      </c>
      <c r="G3" s="3723">
        <f>ROUND(F3/E3,1)</f>
        <v>1.5</v>
      </c>
      <c r="H3" s="3723" t="s">
        <v>3468</v>
      </c>
      <c r="I3" s="3723" t="s">
        <v>3494</v>
      </c>
      <c r="J3" s="3724">
        <v>45098.000497685185</v>
      </c>
      <c r="K3" s="3723">
        <v>15396.76</v>
      </c>
      <c r="L3" s="3723">
        <v>1090</v>
      </c>
      <c r="M3" s="3741">
        <f>ROUND(L3/$Q$11,0)</f>
        <v>1597</v>
      </c>
      <c r="N3" s="3723"/>
      <c r="O3" s="3723"/>
      <c r="P3" s="3723"/>
      <c r="Q3" s="3723" t="s">
        <v>3497</v>
      </c>
      <c r="R3" s="3723">
        <f t="shared" ref="R3:R8" si="0">ROUND(K3/E3*10000,0)</f>
        <v>1635</v>
      </c>
      <c r="S3" s="3741">
        <f>ROUND(R3,0)</f>
        <v>1635</v>
      </c>
      <c r="T3" s="3723" t="s">
        <v>3499</v>
      </c>
      <c r="U3" s="3723" t="s">
        <v>3501</v>
      </c>
    </row>
    <row r="4" spans="1:22" ht="55.5" customHeight="1" thickTop="1" thickBot="1">
      <c r="A4" s="3725"/>
      <c r="B4" s="3725" t="s">
        <v>3493</v>
      </c>
      <c r="C4" s="3725" t="str">
        <f>Sheet1!B2</f>
        <v>顺义区SY00-2402街区C-30地块(网内6号地)工业用地国有建设用地使用权出</v>
      </c>
      <c r="D4" s="3725"/>
      <c r="E4" s="3725">
        <v>84245.85</v>
      </c>
      <c r="F4" s="3725">
        <v>84245.85</v>
      </c>
      <c r="G4" s="3804">
        <f t="shared" ref="G4:G10" si="1">ROUND(F4/E4,1)</f>
        <v>1</v>
      </c>
      <c r="H4" s="3725" t="s">
        <v>3468</v>
      </c>
      <c r="I4" s="3725" t="s">
        <v>3495</v>
      </c>
      <c r="J4" s="3726">
        <v>44931.000497685185</v>
      </c>
      <c r="K4" s="3725">
        <v>23049.66</v>
      </c>
      <c r="L4" s="3725">
        <v>2736</v>
      </c>
      <c r="M4" s="3742">
        <f>ROUND(L4/$Q$11,0)</f>
        <v>4008</v>
      </c>
      <c r="N4" s="3725"/>
      <c r="O4" s="3725"/>
      <c r="P4" s="3725"/>
      <c r="Q4" s="3725" t="s">
        <v>3498</v>
      </c>
      <c r="R4" s="3725">
        <f t="shared" si="0"/>
        <v>2736</v>
      </c>
      <c r="S4" s="3742">
        <f t="shared" ref="S4:S10" si="2">ROUND(R4/$Q$11,0)</f>
        <v>4008</v>
      </c>
      <c r="T4" s="3725" t="s">
        <v>3382</v>
      </c>
      <c r="U4" s="3725" t="s">
        <v>3503</v>
      </c>
    </row>
    <row r="5" spans="1:22" ht="58.5" thickTop="1" thickBot="1">
      <c r="A5" s="3723">
        <v>1</v>
      </c>
      <c r="B5" s="3723" t="s">
        <v>3466</v>
      </c>
      <c r="C5" s="3723" t="s">
        <v>3479</v>
      </c>
      <c r="D5" s="3723" t="s">
        <v>3467</v>
      </c>
      <c r="E5" s="3723">
        <v>100000</v>
      </c>
      <c r="F5" s="3723">
        <v>200000</v>
      </c>
      <c r="G5" s="3804">
        <f t="shared" si="1"/>
        <v>2</v>
      </c>
      <c r="H5" s="3723" t="s">
        <v>3468</v>
      </c>
      <c r="I5" s="3723" t="s">
        <v>3469</v>
      </c>
      <c r="J5" s="3724">
        <v>44307</v>
      </c>
      <c r="K5" s="3723">
        <v>13020</v>
      </c>
      <c r="L5" s="3723">
        <v>651</v>
      </c>
      <c r="M5" s="3741">
        <f t="shared" ref="M5:M10" si="3">ROUND(L5/$Q$11,0)</f>
        <v>954</v>
      </c>
      <c r="N5" s="3723">
        <v>127</v>
      </c>
      <c r="O5" s="3723">
        <v>524</v>
      </c>
      <c r="P5" s="3723"/>
      <c r="Q5" s="3723" t="s">
        <v>3470</v>
      </c>
      <c r="R5" s="3723">
        <f t="shared" si="0"/>
        <v>1302</v>
      </c>
      <c r="S5" s="3741">
        <f t="shared" si="2"/>
        <v>1907</v>
      </c>
      <c r="T5" s="3723" t="s">
        <v>3363</v>
      </c>
      <c r="U5" s="3723" t="s">
        <v>3503</v>
      </c>
    </row>
    <row r="6" spans="1:22" ht="58.5" thickTop="1" thickBot="1">
      <c r="A6" s="3725">
        <v>2</v>
      </c>
      <c r="B6" s="3725" t="s">
        <v>3471</v>
      </c>
      <c r="C6" s="3725" t="s">
        <v>3480</v>
      </c>
      <c r="D6" s="3725" t="s">
        <v>3472</v>
      </c>
      <c r="E6" s="3725">
        <v>13991.5</v>
      </c>
      <c r="F6" s="3725">
        <v>22386</v>
      </c>
      <c r="G6" s="3723">
        <f t="shared" si="1"/>
        <v>1.6</v>
      </c>
      <c r="H6" s="3725" t="s">
        <v>3468</v>
      </c>
      <c r="I6" s="3725" t="s">
        <v>3469</v>
      </c>
      <c r="J6" s="3726">
        <v>44446</v>
      </c>
      <c r="K6" s="3725">
        <v>1811.03</v>
      </c>
      <c r="L6" s="3725">
        <v>809</v>
      </c>
      <c r="M6" s="3742">
        <f t="shared" si="3"/>
        <v>1185</v>
      </c>
      <c r="N6" s="3725">
        <v>509</v>
      </c>
      <c r="O6" s="3725">
        <v>300</v>
      </c>
      <c r="P6" s="3725">
        <f>ROUND(M6/M16,0)</f>
        <v>1419</v>
      </c>
      <c r="Q6" s="3725" t="s">
        <v>3470</v>
      </c>
      <c r="R6" s="3725">
        <f t="shared" si="0"/>
        <v>1294</v>
      </c>
      <c r="S6" s="3748">
        <f t="shared" si="2"/>
        <v>1896</v>
      </c>
      <c r="T6" s="3725" t="s">
        <v>3504</v>
      </c>
      <c r="U6" s="3725" t="s">
        <v>3506</v>
      </c>
      <c r="V6">
        <f>F6/E6</f>
        <v>1.5999714112139514</v>
      </c>
    </row>
    <row r="7" spans="1:22" ht="58.5" thickTop="1" thickBot="1">
      <c r="A7" s="3739">
        <v>3</v>
      </c>
      <c r="B7" s="3739" t="s">
        <v>3473</v>
      </c>
      <c r="C7" s="3739" t="s">
        <v>3481</v>
      </c>
      <c r="D7" s="3739" t="s">
        <v>3489</v>
      </c>
      <c r="E7" s="3739">
        <v>77481.740000000005</v>
      </c>
      <c r="F7" s="3739">
        <v>100726.26</v>
      </c>
      <c r="G7" s="3723">
        <f t="shared" si="1"/>
        <v>1.3</v>
      </c>
      <c r="H7" s="3739" t="s">
        <v>3468</v>
      </c>
      <c r="I7" s="3739" t="s">
        <v>3469</v>
      </c>
      <c r="J7" s="3740">
        <v>44760</v>
      </c>
      <c r="K7" s="3739">
        <v>8098.39</v>
      </c>
      <c r="L7" s="3739">
        <v>804</v>
      </c>
      <c r="M7" s="3743">
        <f t="shared" si="3"/>
        <v>1178</v>
      </c>
      <c r="N7" s="3739">
        <v>702</v>
      </c>
      <c r="O7" s="3739">
        <v>102</v>
      </c>
      <c r="P7" s="3739">
        <f>ROUND(M7/M14,0)</f>
        <v>1294</v>
      </c>
      <c r="Q7" s="3739" t="s">
        <v>3470</v>
      </c>
      <c r="R7" s="3739">
        <f t="shared" si="0"/>
        <v>1045</v>
      </c>
      <c r="S7" s="3757">
        <f t="shared" si="2"/>
        <v>1531</v>
      </c>
      <c r="T7" s="3739" t="s">
        <v>3363</v>
      </c>
      <c r="U7" s="3739" t="s">
        <v>3509</v>
      </c>
      <c r="V7" s="3771">
        <f>F7/E7</f>
        <v>1.2999999741874664</v>
      </c>
    </row>
    <row r="8" spans="1:22" ht="101.25" thickTop="1" thickBot="1">
      <c r="A8" s="3725">
        <v>4</v>
      </c>
      <c r="B8" s="3725" t="s">
        <v>3474</v>
      </c>
      <c r="C8" s="3725" t="s">
        <v>3482</v>
      </c>
      <c r="D8" s="3725" t="s">
        <v>3475</v>
      </c>
      <c r="E8" s="3725">
        <v>65024.44</v>
      </c>
      <c r="F8" s="3725">
        <v>97536.66</v>
      </c>
      <c r="G8" s="3723">
        <f t="shared" si="1"/>
        <v>1.5</v>
      </c>
      <c r="H8" s="3725" t="s">
        <v>3468</v>
      </c>
      <c r="I8" s="3725" t="s">
        <v>3469</v>
      </c>
      <c r="J8" s="3726">
        <v>44760</v>
      </c>
      <c r="K8" s="3725">
        <v>8017.51</v>
      </c>
      <c r="L8" s="3725">
        <v>822</v>
      </c>
      <c r="M8" s="3742">
        <f t="shared" si="3"/>
        <v>1204</v>
      </c>
      <c r="N8" s="3725">
        <v>107</v>
      </c>
      <c r="O8" s="3725">
        <v>715</v>
      </c>
      <c r="P8" s="3725"/>
      <c r="Q8" s="3725" t="s">
        <v>3470</v>
      </c>
      <c r="R8" s="3725">
        <f t="shared" si="0"/>
        <v>1233</v>
      </c>
      <c r="S8" s="3742">
        <f t="shared" si="2"/>
        <v>1806</v>
      </c>
      <c r="T8" s="3725" t="s">
        <v>1156</v>
      </c>
      <c r="U8" s="3725" t="s">
        <v>3500</v>
      </c>
    </row>
    <row r="9" spans="1:22" ht="101.25" thickTop="1" thickBot="1">
      <c r="A9" s="3739">
        <v>5</v>
      </c>
      <c r="B9" s="3739" t="s">
        <v>3476</v>
      </c>
      <c r="C9" s="3739" t="s">
        <v>3483</v>
      </c>
      <c r="D9" s="3739" t="s">
        <v>3477</v>
      </c>
      <c r="E9" s="3739">
        <v>26650.41</v>
      </c>
      <c r="F9" s="3739">
        <v>39975.61</v>
      </c>
      <c r="G9" s="3723">
        <f t="shared" si="1"/>
        <v>1.5</v>
      </c>
      <c r="H9" s="3739" t="s">
        <v>3468</v>
      </c>
      <c r="I9" s="3739" t="s">
        <v>3469</v>
      </c>
      <c r="J9" s="3740">
        <v>44760</v>
      </c>
      <c r="K9" s="3739">
        <v>3258.01</v>
      </c>
      <c r="L9" s="3739">
        <v>815</v>
      </c>
      <c r="M9" s="3743">
        <f t="shared" si="3"/>
        <v>1194</v>
      </c>
      <c r="N9" s="3739">
        <v>99</v>
      </c>
      <c r="O9" s="3739">
        <v>716</v>
      </c>
      <c r="P9" s="3739">
        <f>ROUND(M9/M15,0)</f>
        <v>1390</v>
      </c>
      <c r="Q9" s="3739" t="s">
        <v>3470</v>
      </c>
      <c r="R9" s="3739">
        <f>ROUND(K9/E9*10000,2)</f>
        <v>1222.5</v>
      </c>
      <c r="S9" s="3748">
        <f t="shared" si="2"/>
        <v>1791</v>
      </c>
      <c r="T9" s="3723" t="s">
        <v>1156</v>
      </c>
      <c r="U9" s="3723" t="s">
        <v>3500</v>
      </c>
      <c r="V9" s="3771">
        <f>F9/E9</f>
        <v>1.4999998123856255</v>
      </c>
    </row>
    <row r="10" spans="1:22" ht="101.25" thickTop="1" thickBot="1">
      <c r="A10" s="3725">
        <v>6</v>
      </c>
      <c r="B10" s="3725" t="s">
        <v>3478</v>
      </c>
      <c r="C10" s="3725" t="s">
        <v>3484</v>
      </c>
      <c r="D10" s="3725" t="s">
        <v>3475</v>
      </c>
      <c r="E10" s="3725">
        <v>40217.370000000003</v>
      </c>
      <c r="F10" s="3725">
        <v>60326.05</v>
      </c>
      <c r="G10" s="3723">
        <f t="shared" si="1"/>
        <v>1.5</v>
      </c>
      <c r="H10" s="3725" t="s">
        <v>3468</v>
      </c>
      <c r="I10" s="3725" t="s">
        <v>3469</v>
      </c>
      <c r="J10" s="3726">
        <v>44832</v>
      </c>
      <c r="K10" s="3725">
        <v>4964.83</v>
      </c>
      <c r="L10" s="3725">
        <v>823</v>
      </c>
      <c r="M10" s="3742">
        <f t="shared" si="3"/>
        <v>1206</v>
      </c>
      <c r="N10" s="3725">
        <v>83</v>
      </c>
      <c r="O10" s="3725">
        <v>740</v>
      </c>
      <c r="P10" s="3725"/>
      <c r="Q10" s="3725" t="s">
        <v>3470</v>
      </c>
      <c r="R10" s="3725">
        <f>ROUND(K10/E10*10000,0)</f>
        <v>1234</v>
      </c>
      <c r="S10" s="3748">
        <f t="shared" si="2"/>
        <v>1808</v>
      </c>
      <c r="T10" s="3725" t="s">
        <v>1156</v>
      </c>
      <c r="U10" s="3725" t="s">
        <v>3502</v>
      </c>
    </row>
    <row r="11" spans="1:22">
      <c r="Q11" s="3744">
        <v>0.68259999999999998</v>
      </c>
    </row>
    <row r="14" spans="1:22">
      <c r="L14">
        <v>1.3</v>
      </c>
      <c r="M14">
        <v>0.91069999999999995</v>
      </c>
    </row>
    <row r="15" spans="1:22">
      <c r="L15">
        <v>1.5</v>
      </c>
      <c r="M15">
        <v>0.8589</v>
      </c>
    </row>
    <row r="16" spans="1:22">
      <c r="L16">
        <v>1.6</v>
      </c>
      <c r="M16">
        <v>0.83509999999999995</v>
      </c>
    </row>
  </sheetData>
  <mergeCells count="16">
    <mergeCell ref="R1:R2"/>
    <mergeCell ref="T1:T2"/>
    <mergeCell ref="U1:U2"/>
    <mergeCell ref="Q1:Q2"/>
    <mergeCell ref="A1:A2"/>
    <mergeCell ref="B1:B2"/>
    <mergeCell ref="C1:C2"/>
    <mergeCell ref="D1:D2"/>
    <mergeCell ref="E1:E2"/>
    <mergeCell ref="F1:F2"/>
    <mergeCell ref="H1:H2"/>
    <mergeCell ref="I1:I2"/>
    <mergeCell ref="J1:J2"/>
    <mergeCell ref="L1:L2"/>
    <mergeCell ref="N1:N2"/>
    <mergeCell ref="G1:G2"/>
  </mergeCells>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80" zoomScaleNormal="60" zoomScaleSheetLayoutView="80" workbookViewId="0">
      <selection activeCell="J21" sqref="J21"/>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3048</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2124</v>
      </c>
      <c r="U2" s="2404"/>
      <c r="V2" s="2414">
        <f>ROUND(T2*U2/10000,0)</f>
        <v>0</v>
      </c>
      <c r="W2" s="1909"/>
      <c r="X2" s="1909"/>
      <c r="Y2" s="1909"/>
      <c r="Z2" s="1909"/>
      <c r="AA2" s="1909"/>
      <c r="AB2" s="1909"/>
      <c r="AC2" s="1910"/>
    </row>
    <row r="3" spans="1:39" ht="15.75">
      <c r="A3" s="1264" t="s">
        <v>1220</v>
      </c>
      <c r="B3" s="989">
        <f>ROUND(B2*10000/D1,0)</f>
        <v>1378</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1637</v>
      </c>
      <c r="U3" s="2404"/>
      <c r="V3" s="2414">
        <f t="shared" ref="V3:V16" si="1">ROUND(T3*U3/10000,0)</f>
        <v>0</v>
      </c>
      <c r="W3" s="1909"/>
      <c r="X3" s="1909"/>
      <c r="Y3" s="1909"/>
      <c r="Z3" s="1909"/>
      <c r="AA3" s="1909"/>
      <c r="AB3" s="1909"/>
      <c r="AC3" s="1910"/>
    </row>
    <row r="4" spans="1:39" ht="28.5">
      <c r="A4" s="1645" t="s">
        <v>1638</v>
      </c>
      <c r="B4" s="2104">
        <f>ROUND(B2*10000/F1,0)</f>
        <v>1378</v>
      </c>
      <c r="C4" s="1648" t="s">
        <v>1613</v>
      </c>
      <c r="D4" s="1648">
        <f>ROUND(B2/(F1/666.67),0)</f>
        <v>92</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1336</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1134</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1033</v>
      </c>
      <c r="U6" s="2404"/>
      <c r="V6" s="2414">
        <f t="shared" si="1"/>
        <v>0</v>
      </c>
      <c r="W6" s="1909"/>
      <c r="X6" s="1909"/>
      <c r="Y6" s="1909"/>
      <c r="Z6" s="1909"/>
      <c r="AA6" s="1909"/>
      <c r="AB6" s="1909"/>
      <c r="AC6" s="1911"/>
      <c r="AD6" s="1272"/>
      <c r="AE6" s="1272"/>
      <c r="AF6" s="1272"/>
      <c r="AG6" s="1272"/>
      <c r="AH6" s="1272"/>
      <c r="AI6" s="1272"/>
      <c r="AJ6" s="1273"/>
    </row>
    <row r="7" spans="1:39" ht="24.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125" t="s">
        <v>2060</v>
      </c>
      <c r="X8" s="412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124"/>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124"/>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118" t="s">
        <v>1370</v>
      </c>
      <c r="B20" s="1276" t="s">
        <v>875</v>
      </c>
      <c r="C20" s="996">
        <f>ROUND(IF(F21="与级别开发程度一致",0,(G21-E21)/C21),0)</f>
        <v>0</v>
      </c>
      <c r="D20" s="4130" t="s">
        <v>879</v>
      </c>
      <c r="E20" s="4131"/>
      <c r="F20" s="4130" t="s">
        <v>876</v>
      </c>
      <c r="G20" s="4131"/>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119"/>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1.0713999999999999</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3048</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1378</v>
      </c>
      <c r="D33" s="1324">
        <f>'数据-基础表'!A3</f>
        <v>22121.8</v>
      </c>
      <c r="E33" s="1633">
        <f>ROUND(C33*D33/10000,0)</f>
        <v>3048</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207</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122"/>
      <c r="B37" s="1342" t="s">
        <v>923</v>
      </c>
      <c r="C37" s="1003">
        <f>ROUND(D5*C22*C23*C24*C28*F37,0)</f>
        <v>689</v>
      </c>
      <c r="D37" s="1354"/>
      <c r="E37" s="994">
        <f>ROUND(C37*D37/10000,0)</f>
        <v>0</v>
      </c>
      <c r="F37" s="994">
        <f>SUMIF(修正!A57:A68,G2,修正!B57:B68)</f>
        <v>0.5</v>
      </c>
      <c r="G37" s="994">
        <f>ROUND(IF(E2="工业",C37*$M$42,C37*$M$41),0)</f>
        <v>103</v>
      </c>
      <c r="H37" s="994">
        <f>D37</f>
        <v>0</v>
      </c>
      <c r="I37" s="994">
        <f>ROUND(G37*H37/10000,0)</f>
        <v>0</v>
      </c>
      <c r="J37" s="4122"/>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123"/>
      <c r="B38" s="1286" t="s">
        <v>924</v>
      </c>
      <c r="C38" s="1003">
        <f>ROUND(D5*C22*C23*C24*C28*F38,0)</f>
        <v>276</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123"/>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123"/>
      <c r="B39" s="3562" t="s">
        <v>3216</v>
      </c>
      <c r="C39" s="1003">
        <f>ROUND(D5*C22*C23*C24*C28*F39,0)</f>
        <v>276</v>
      </c>
      <c r="D39" s="1354"/>
      <c r="E39" s="994">
        <f t="shared" si="4"/>
        <v>0</v>
      </c>
      <c r="F39" s="994">
        <f>SUMIF(修正!A57:A68,G2,修正!D57:D68)</f>
        <v>0.2</v>
      </c>
      <c r="G39" s="994">
        <f>ROUND(IF(E2="工业",C39*$M$42,C39*$M$41),0)</f>
        <v>41</v>
      </c>
      <c r="H39" s="994">
        <f t="shared" si="5"/>
        <v>0</v>
      </c>
      <c r="I39" s="994">
        <f t="shared" si="6"/>
        <v>0</v>
      </c>
      <c r="J39" s="4123"/>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276</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72">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72">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48.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72">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120" t="s">
        <v>1172</v>
      </c>
      <c r="B104" s="4120"/>
      <c r="C104" s="4120"/>
      <c r="D104" s="4120"/>
      <c r="E104" s="4120"/>
      <c r="F104" s="4120"/>
      <c r="G104" s="4120"/>
      <c r="H104" s="4120"/>
      <c r="I104" s="4120"/>
      <c r="J104" s="4120"/>
      <c r="K104" s="2101"/>
      <c r="L104" s="2101"/>
      <c r="M104" s="2101"/>
      <c r="N104" s="2101"/>
    </row>
    <row r="105" spans="1:36">
      <c r="A105" s="4121" t="s">
        <v>1161</v>
      </c>
      <c r="B105" s="4121" t="s">
        <v>1173</v>
      </c>
      <c r="C105" s="1039" t="s">
        <v>1174</v>
      </c>
      <c r="D105" s="1040"/>
      <c r="E105" s="1040"/>
      <c r="F105" s="1040"/>
      <c r="G105" s="1040"/>
      <c r="H105" s="1040"/>
      <c r="I105" s="1040"/>
      <c r="J105" s="1041"/>
      <c r="K105" s="1033"/>
      <c r="L105" s="1033"/>
      <c r="M105" s="1033"/>
      <c r="N105" s="1033"/>
    </row>
    <row r="106" spans="1:36">
      <c r="A106" s="4121"/>
      <c r="B106" s="4121"/>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127"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128"/>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128"/>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128"/>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128"/>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128"/>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129"/>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117" t="s">
        <v>1175</v>
      </c>
      <c r="B114" s="4117"/>
      <c r="C114" s="4117"/>
      <c r="D114" s="4117"/>
      <c r="E114" s="4117"/>
      <c r="F114" s="4117"/>
      <c r="G114" s="4117"/>
      <c r="H114" s="4117"/>
      <c r="I114" s="4117"/>
      <c r="J114" s="4117"/>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136" t="s">
        <v>2450</v>
      </c>
      <c r="B20" s="4139" t="s">
        <v>2460</v>
      </c>
      <c r="C20" s="3251" t="s">
        <v>2461</v>
      </c>
      <c r="D20" s="3252"/>
      <c r="E20" s="3253">
        <v>1</v>
      </c>
      <c r="F20" s="3254" t="s">
        <v>2462</v>
      </c>
      <c r="G20" s="1033"/>
      <c r="H20" s="1023"/>
      <c r="I20" s="1023"/>
    </row>
    <row r="21" spans="1:13" s="1406" customFormat="1">
      <c r="A21" s="4137"/>
      <c r="B21" s="4135"/>
      <c r="C21" s="3255" t="s">
        <v>2463</v>
      </c>
      <c r="D21" s="3256"/>
      <c r="E21" s="3257">
        <v>1</v>
      </c>
      <c r="F21" s="3254" t="s">
        <v>2464</v>
      </c>
      <c r="G21" s="1033"/>
      <c r="H21" s="1023"/>
      <c r="I21" s="1023"/>
    </row>
    <row r="22" spans="1:13" s="1406" customFormat="1">
      <c r="A22" s="4137"/>
      <c r="B22" s="4135"/>
      <c r="C22" s="3255" t="s">
        <v>2465</v>
      </c>
      <c r="D22" s="3256"/>
      <c r="E22" s="3257">
        <v>0.9</v>
      </c>
      <c r="F22" s="3254" t="s">
        <v>2466</v>
      </c>
      <c r="G22" s="1033"/>
      <c r="H22" s="1023"/>
      <c r="I22" s="1023"/>
    </row>
    <row r="23" spans="1:13" s="1406" customFormat="1">
      <c r="A23" s="4137"/>
      <c r="B23" s="4135"/>
      <c r="C23" s="3255" t="s">
        <v>2467</v>
      </c>
      <c r="D23" s="3256"/>
      <c r="E23" s="3257">
        <v>0.9</v>
      </c>
      <c r="F23" s="3254" t="s">
        <v>2468</v>
      </c>
      <c r="G23" s="1033"/>
      <c r="H23" s="1023"/>
      <c r="I23" s="1023"/>
    </row>
    <row r="24" spans="1:13" s="1406" customFormat="1">
      <c r="A24" s="4137"/>
      <c r="B24" s="4135"/>
      <c r="C24" s="3255" t="s">
        <v>2469</v>
      </c>
      <c r="D24" s="3256"/>
      <c r="E24" s="3257">
        <v>0.8</v>
      </c>
      <c r="F24" s="3254" t="s">
        <v>2470</v>
      </c>
      <c r="G24" s="1033"/>
      <c r="H24" s="1023"/>
      <c r="I24" s="1023"/>
    </row>
    <row r="25" spans="1:13" s="1406" customFormat="1" ht="14.25" thickBot="1">
      <c r="A25" s="4138"/>
      <c r="B25" s="4140"/>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141" t="s">
        <v>2455</v>
      </c>
      <c r="B27" s="4139" t="s">
        <v>2455</v>
      </c>
      <c r="C27" s="3251" t="s">
        <v>2475</v>
      </c>
      <c r="D27" s="3252"/>
      <c r="E27" s="3253">
        <v>1</v>
      </c>
      <c r="F27" s="3254" t="s">
        <v>2476</v>
      </c>
      <c r="G27" s="1033"/>
      <c r="H27" s="1023"/>
      <c r="I27" s="1023"/>
    </row>
    <row r="28" spans="1:13" s="1406" customFormat="1">
      <c r="A28" s="4142"/>
      <c r="B28" s="4135"/>
      <c r="C28" s="3255" t="s">
        <v>2477</v>
      </c>
      <c r="D28" s="3256"/>
      <c r="E28" s="3257">
        <v>1</v>
      </c>
      <c r="F28" s="3254" t="s">
        <v>2478</v>
      </c>
      <c r="G28" s="1033"/>
      <c r="H28" s="1023"/>
      <c r="I28" s="1023"/>
    </row>
    <row r="29" spans="1:13" s="1406" customFormat="1">
      <c r="A29" s="4142"/>
      <c r="B29" s="4135"/>
      <c r="C29" s="3255" t="s">
        <v>2479</v>
      </c>
      <c r="D29" s="3256"/>
      <c r="E29" s="3257">
        <v>0.8</v>
      </c>
      <c r="F29" s="3254" t="s">
        <v>2480</v>
      </c>
      <c r="G29" s="1033"/>
      <c r="H29" s="1023"/>
      <c r="I29" s="1023"/>
    </row>
    <row r="30" spans="1:13" s="1406" customFormat="1">
      <c r="A30" s="4142"/>
      <c r="B30" s="4135"/>
      <c r="C30" s="3255" t="s">
        <v>2481</v>
      </c>
      <c r="D30" s="3256"/>
      <c r="E30" s="3257">
        <v>0.8</v>
      </c>
      <c r="F30" s="3254" t="s">
        <v>2482</v>
      </c>
      <c r="G30" s="1033"/>
      <c r="H30" s="1023"/>
      <c r="I30" s="1023"/>
    </row>
    <row r="31" spans="1:13" s="1406" customFormat="1">
      <c r="A31" s="4142"/>
      <c r="B31" s="4135"/>
      <c r="C31" s="3255" t="s">
        <v>2483</v>
      </c>
      <c r="D31" s="3256"/>
      <c r="E31" s="3257">
        <v>0.8</v>
      </c>
      <c r="F31" s="3254" t="s">
        <v>2484</v>
      </c>
      <c r="G31" s="1033"/>
      <c r="H31" s="1023"/>
      <c r="I31" s="1023"/>
    </row>
    <row r="32" spans="1:13" s="1406" customFormat="1">
      <c r="A32" s="4142"/>
      <c r="B32" s="4135"/>
      <c r="C32" s="3255" t="s">
        <v>2485</v>
      </c>
      <c r="D32" s="3256"/>
      <c r="E32" s="3257">
        <v>0.7</v>
      </c>
      <c r="F32" s="3254" t="s">
        <v>2486</v>
      </c>
      <c r="G32" s="1033"/>
      <c r="H32" s="1023"/>
      <c r="I32" s="1023"/>
    </row>
    <row r="33" spans="1:9" s="1406" customFormat="1">
      <c r="A33" s="4142"/>
      <c r="B33" s="4135"/>
      <c r="C33" s="3255" t="s">
        <v>2487</v>
      </c>
      <c r="D33" s="3256"/>
      <c r="E33" s="3257">
        <v>0.8</v>
      </c>
      <c r="F33" s="3254" t="s">
        <v>2488</v>
      </c>
      <c r="G33" s="1033"/>
      <c r="H33" s="1023"/>
      <c r="I33" s="1023"/>
    </row>
    <row r="34" spans="1:9" s="1406" customFormat="1">
      <c r="A34" s="4142"/>
      <c r="B34" s="4135"/>
      <c r="C34" s="3255" t="s">
        <v>2489</v>
      </c>
      <c r="D34" s="3256"/>
      <c r="E34" s="3257">
        <v>0.6</v>
      </c>
      <c r="F34" s="3254" t="s">
        <v>2490</v>
      </c>
      <c r="G34" s="1033"/>
      <c r="H34" s="1023"/>
      <c r="I34" s="1023"/>
    </row>
    <row r="35" spans="1:9" s="1406" customFormat="1">
      <c r="A35" s="4142"/>
      <c r="B35" s="4135"/>
      <c r="C35" s="3255" t="s">
        <v>2491</v>
      </c>
      <c r="D35" s="3256"/>
      <c r="E35" s="3257">
        <v>0.2</v>
      </c>
      <c r="F35" s="3254" t="s">
        <v>2492</v>
      </c>
      <c r="G35" s="1033"/>
      <c r="H35" s="1023"/>
      <c r="I35" s="1023"/>
    </row>
    <row r="36" spans="1:9" s="1406" customFormat="1">
      <c r="A36" s="4142"/>
      <c r="B36" s="4135"/>
      <c r="C36" s="3255" t="s">
        <v>2493</v>
      </c>
      <c r="D36" s="3256"/>
      <c r="E36" s="3257">
        <v>0.2</v>
      </c>
      <c r="F36" s="3254" t="s">
        <v>2494</v>
      </c>
      <c r="G36" s="1033"/>
      <c r="H36" s="1023"/>
      <c r="I36" s="1023"/>
    </row>
    <row r="37" spans="1:9" s="1406" customFormat="1">
      <c r="A37" s="4142"/>
      <c r="B37" s="4133" t="s">
        <v>2495</v>
      </c>
      <c r="C37" s="3255" t="s">
        <v>2496</v>
      </c>
      <c r="D37" s="3256"/>
      <c r="E37" s="3257">
        <v>0.6</v>
      </c>
      <c r="F37" s="3254" t="s">
        <v>2497</v>
      </c>
      <c r="G37" s="1033"/>
      <c r="H37" s="1023"/>
      <c r="I37" s="1023"/>
    </row>
    <row r="38" spans="1:9" s="1406" customFormat="1">
      <c r="A38" s="4142"/>
      <c r="B38" s="4135"/>
      <c r="C38" s="3255" t="s">
        <v>2498</v>
      </c>
      <c r="D38" s="3256"/>
      <c r="E38" s="3257">
        <v>0.6</v>
      </c>
      <c r="F38" s="3254" t="s">
        <v>2499</v>
      </c>
      <c r="G38" s="1033"/>
      <c r="H38" s="1023"/>
      <c r="I38" s="1023"/>
    </row>
    <row r="39" spans="1:9" s="1406" customFormat="1" ht="14.25" thickBot="1">
      <c r="A39" s="4143"/>
      <c r="B39" s="4140"/>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136" t="s">
        <v>2453</v>
      </c>
      <c r="B41" s="4139" t="s">
        <v>2504</v>
      </c>
      <c r="C41" s="3251" t="s">
        <v>2505</v>
      </c>
      <c r="D41" s="3252"/>
      <c r="E41" s="3253">
        <v>1</v>
      </c>
      <c r="F41" s="3254" t="s">
        <v>2506</v>
      </c>
      <c r="G41" s="1033"/>
      <c r="H41" s="1023"/>
      <c r="I41" s="1023"/>
    </row>
    <row r="42" spans="1:9" s="1406" customFormat="1">
      <c r="A42" s="4137"/>
      <c r="B42" s="4135"/>
      <c r="C42" s="3255" t="s">
        <v>2507</v>
      </c>
      <c r="D42" s="3256"/>
      <c r="E42" s="3257">
        <v>1</v>
      </c>
      <c r="F42" s="3254" t="s">
        <v>2508</v>
      </c>
      <c r="G42" s="1033"/>
      <c r="H42" s="1023"/>
      <c r="I42" s="1023"/>
    </row>
    <row r="43" spans="1:9" s="1406" customFormat="1">
      <c r="A43" s="4137"/>
      <c r="B43" s="4134"/>
      <c r="C43" s="3255" t="s">
        <v>2509</v>
      </c>
      <c r="D43" s="3256"/>
      <c r="E43" s="3257">
        <v>1.5</v>
      </c>
      <c r="F43" s="3254" t="s">
        <v>2510</v>
      </c>
      <c r="G43" s="1033"/>
      <c r="H43" s="1023"/>
      <c r="I43" s="1023"/>
    </row>
    <row r="44" spans="1:9" s="1406" customFormat="1">
      <c r="A44" s="4137"/>
      <c r="B44" s="3266" t="s">
        <v>2455</v>
      </c>
      <c r="C44" s="3255" t="s">
        <v>2454</v>
      </c>
      <c r="D44" s="3256"/>
      <c r="E44" s="3257">
        <v>2</v>
      </c>
      <c r="F44" s="3254" t="s">
        <v>2511</v>
      </c>
      <c r="G44" s="1033"/>
      <c r="H44" s="1023"/>
      <c r="I44" s="1023"/>
    </row>
    <row r="45" spans="1:9" s="1406" customFormat="1">
      <c r="A45" s="4137"/>
      <c r="B45" s="4133" t="s">
        <v>2512</v>
      </c>
      <c r="C45" s="3255" t="s">
        <v>2513</v>
      </c>
      <c r="D45" s="3256"/>
      <c r="E45" s="3257">
        <v>1</v>
      </c>
      <c r="F45" s="3254" t="s">
        <v>2514</v>
      </c>
      <c r="G45" s="1033"/>
      <c r="H45" s="1023"/>
      <c r="I45" s="1023"/>
    </row>
    <row r="46" spans="1:9" s="1406" customFormat="1">
      <c r="A46" s="4137"/>
      <c r="B46" s="4135"/>
      <c r="C46" s="3255" t="s">
        <v>2515</v>
      </c>
      <c r="D46" s="3256"/>
      <c r="E46" s="3257">
        <v>1</v>
      </c>
      <c r="F46" s="3254" t="s">
        <v>2516</v>
      </c>
      <c r="G46" s="1033"/>
      <c r="H46" s="1023"/>
      <c r="I46" s="1023"/>
    </row>
    <row r="47" spans="1:9" s="1406" customFormat="1">
      <c r="A47" s="4137"/>
      <c r="B47" s="4135"/>
      <c r="C47" s="3255" t="s">
        <v>2517</v>
      </c>
      <c r="D47" s="3256"/>
      <c r="E47" s="3257">
        <v>1</v>
      </c>
      <c r="F47" s="3254" t="s">
        <v>2518</v>
      </c>
      <c r="G47" s="1033"/>
      <c r="H47" s="1023"/>
      <c r="I47" s="1023"/>
    </row>
    <row r="48" spans="1:9" s="1406" customFormat="1">
      <c r="A48" s="4137"/>
      <c r="B48" s="4135"/>
      <c r="C48" s="3255" t="s">
        <v>2519</v>
      </c>
      <c r="D48" s="3256"/>
      <c r="E48" s="3257">
        <v>1</v>
      </c>
      <c r="F48" s="3254" t="s">
        <v>2520</v>
      </c>
      <c r="G48" s="1033"/>
      <c r="H48" s="1023"/>
      <c r="I48" s="1023"/>
    </row>
    <row r="49" spans="1:9" s="1406" customFormat="1">
      <c r="A49" s="4137"/>
      <c r="B49" s="4135"/>
      <c r="C49" s="3255" t="s">
        <v>2521</v>
      </c>
      <c r="D49" s="3256"/>
      <c r="E49" s="3257">
        <v>1</v>
      </c>
      <c r="F49" s="3254" t="s">
        <v>2522</v>
      </c>
      <c r="G49" s="1033"/>
      <c r="H49" s="1023"/>
      <c r="I49" s="1023"/>
    </row>
    <row r="50" spans="1:9" s="1406" customFormat="1">
      <c r="A50" s="4137"/>
      <c r="B50" s="4135"/>
      <c r="C50" s="3255" t="s">
        <v>2523</v>
      </c>
      <c r="D50" s="3256"/>
      <c r="E50" s="3257">
        <v>1</v>
      </c>
      <c r="F50" s="3254" t="s">
        <v>2524</v>
      </c>
      <c r="G50" s="1033"/>
      <c r="H50" s="1023"/>
      <c r="I50" s="1023"/>
    </row>
    <row r="51" spans="1:9" s="1406" customFormat="1" ht="14.25" thickBot="1">
      <c r="A51" s="4138"/>
      <c r="B51" s="4140"/>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133" t="s">
        <v>2528</v>
      </c>
      <c r="C73" s="3244" t="s">
        <v>2529</v>
      </c>
      <c r="D73" s="3244" t="s">
        <v>2530</v>
      </c>
      <c r="E73" s="3267">
        <v>0.2</v>
      </c>
      <c r="F73" s="3266">
        <v>25</v>
      </c>
      <c r="H73" s="1023">
        <f>SUMIF(C71:C139,基准地价!C8,E71:E139)</f>
        <v>0</v>
      </c>
    </row>
    <row r="74" spans="1:8" s="1023" customFormat="1" ht="24">
      <c r="A74" s="3266">
        <v>2</v>
      </c>
      <c r="B74" s="4135"/>
      <c r="C74" s="3244" t="s">
        <v>2531</v>
      </c>
      <c r="D74" s="3244" t="s">
        <v>2532</v>
      </c>
      <c r="E74" s="3267">
        <v>0.2</v>
      </c>
      <c r="F74" s="3266">
        <v>25</v>
      </c>
    </row>
    <row r="75" spans="1:8" s="1023" customFormat="1" ht="24">
      <c r="A75" s="3266">
        <v>3</v>
      </c>
      <c r="B75" s="4135"/>
      <c r="C75" s="3244" t="s">
        <v>2533</v>
      </c>
      <c r="D75" s="3244" t="s">
        <v>2534</v>
      </c>
      <c r="E75" s="3267">
        <v>0.2</v>
      </c>
      <c r="F75" s="3266">
        <v>25</v>
      </c>
    </row>
    <row r="76" spans="1:8" s="1023" customFormat="1">
      <c r="A76" s="3266">
        <v>4</v>
      </c>
      <c r="B76" s="4135"/>
      <c r="C76" s="3244" t="s">
        <v>2535</v>
      </c>
      <c r="D76" s="3244" t="s">
        <v>2536</v>
      </c>
      <c r="E76" s="3267">
        <v>0.15</v>
      </c>
      <c r="F76" s="3266">
        <v>20</v>
      </c>
    </row>
    <row r="77" spans="1:8" s="1023" customFormat="1" ht="24">
      <c r="A77" s="3266">
        <v>5</v>
      </c>
      <c r="B77" s="4135"/>
      <c r="C77" s="3244" t="s">
        <v>2537</v>
      </c>
      <c r="D77" s="3244" t="s">
        <v>2538</v>
      </c>
      <c r="E77" s="3267">
        <v>0.15</v>
      </c>
      <c r="F77" s="3266">
        <v>20</v>
      </c>
    </row>
    <row r="78" spans="1:8" s="1023" customFormat="1" ht="24">
      <c r="A78" s="3266">
        <v>6</v>
      </c>
      <c r="B78" s="4135"/>
      <c r="C78" s="3244" t="s">
        <v>2539</v>
      </c>
      <c r="D78" s="3244" t="s">
        <v>2540</v>
      </c>
      <c r="E78" s="3267">
        <v>0.15</v>
      </c>
      <c r="F78" s="3266">
        <v>20</v>
      </c>
    </row>
    <row r="79" spans="1:8" s="1023" customFormat="1" ht="24">
      <c r="A79" s="3266">
        <v>7</v>
      </c>
      <c r="B79" s="4135"/>
      <c r="C79" s="3244" t="s">
        <v>2541</v>
      </c>
      <c r="D79" s="3244" t="s">
        <v>2542</v>
      </c>
      <c r="E79" s="3267">
        <v>0.15</v>
      </c>
      <c r="F79" s="3266">
        <v>20</v>
      </c>
    </row>
    <row r="80" spans="1:8" s="1023" customFormat="1" ht="24">
      <c r="A80" s="3266">
        <v>8</v>
      </c>
      <c r="B80" s="4135"/>
      <c r="C80" s="3244" t="s">
        <v>2543</v>
      </c>
      <c r="D80" s="3244" t="s">
        <v>2544</v>
      </c>
      <c r="E80" s="3267">
        <v>0.1</v>
      </c>
      <c r="F80" s="3266">
        <v>15</v>
      </c>
    </row>
    <row r="81" spans="1:6" s="1023" customFormat="1" ht="24">
      <c r="A81" s="3266">
        <v>9</v>
      </c>
      <c r="B81" s="4135"/>
      <c r="C81" s="3244" t="s">
        <v>2545</v>
      </c>
      <c r="D81" s="3244" t="s">
        <v>2546</v>
      </c>
      <c r="E81" s="3267">
        <v>0.1</v>
      </c>
      <c r="F81" s="3266">
        <v>15</v>
      </c>
    </row>
    <row r="82" spans="1:6" s="1023" customFormat="1" ht="24">
      <c r="A82" s="3266">
        <v>10</v>
      </c>
      <c r="B82" s="4135"/>
      <c r="C82" s="3244" t="s">
        <v>2547</v>
      </c>
      <c r="D82" s="3244" t="s">
        <v>2548</v>
      </c>
      <c r="E82" s="3267">
        <v>0.1</v>
      </c>
      <c r="F82" s="3266">
        <v>15</v>
      </c>
    </row>
    <row r="83" spans="1:6" s="1023" customFormat="1" ht="24">
      <c r="A83" s="3266">
        <v>11</v>
      </c>
      <c r="B83" s="4135"/>
      <c r="C83" s="3244" t="s">
        <v>2549</v>
      </c>
      <c r="D83" s="3244" t="s">
        <v>2550</v>
      </c>
      <c r="E83" s="3267">
        <v>0.1</v>
      </c>
      <c r="F83" s="3266">
        <v>15</v>
      </c>
    </row>
    <row r="84" spans="1:6" s="1023" customFormat="1" ht="24">
      <c r="A84" s="3266">
        <v>12</v>
      </c>
      <c r="B84" s="4135"/>
      <c r="C84" s="3244" t="s">
        <v>2551</v>
      </c>
      <c r="D84" s="3244" t="s">
        <v>2552</v>
      </c>
      <c r="E84" s="3267">
        <v>0.1</v>
      </c>
      <c r="F84" s="3266">
        <v>15</v>
      </c>
    </row>
    <row r="85" spans="1:6" s="1023" customFormat="1">
      <c r="A85" s="3266">
        <v>13</v>
      </c>
      <c r="B85" s="4135"/>
      <c r="C85" s="3244" t="s">
        <v>2553</v>
      </c>
      <c r="D85" s="3244" t="s">
        <v>2554</v>
      </c>
      <c r="E85" s="3267">
        <v>0.1</v>
      </c>
      <c r="F85" s="3266">
        <v>15</v>
      </c>
    </row>
    <row r="86" spans="1:6" s="1023" customFormat="1">
      <c r="A86" s="3266">
        <v>14</v>
      </c>
      <c r="B86" s="4135"/>
      <c r="C86" s="3244" t="s">
        <v>2555</v>
      </c>
      <c r="D86" s="3244" t="s">
        <v>2556</v>
      </c>
      <c r="E86" s="3267">
        <v>0.1</v>
      </c>
      <c r="F86" s="3266">
        <v>15</v>
      </c>
    </row>
    <row r="87" spans="1:6" s="1023" customFormat="1">
      <c r="A87" s="3266">
        <v>15</v>
      </c>
      <c r="B87" s="4135"/>
      <c r="C87" s="3244" t="s">
        <v>2557</v>
      </c>
      <c r="D87" s="3244" t="s">
        <v>2558</v>
      </c>
      <c r="E87" s="3267">
        <v>0.1</v>
      </c>
      <c r="F87" s="3266">
        <v>15</v>
      </c>
    </row>
    <row r="88" spans="1:6" s="1023" customFormat="1" ht="24">
      <c r="A88" s="3266">
        <v>16</v>
      </c>
      <c r="B88" s="4135"/>
      <c r="C88" s="3244" t="s">
        <v>2559</v>
      </c>
      <c r="D88" s="3244" t="s">
        <v>2560</v>
      </c>
      <c r="E88" s="3267">
        <v>0.1</v>
      </c>
      <c r="F88" s="3266">
        <v>15</v>
      </c>
    </row>
    <row r="89" spans="1:6" s="1023" customFormat="1" ht="24">
      <c r="A89" s="3266">
        <v>17</v>
      </c>
      <c r="B89" s="4134"/>
      <c r="C89" s="3244" t="s">
        <v>2561</v>
      </c>
      <c r="D89" s="3244" t="s">
        <v>2562</v>
      </c>
      <c r="E89" s="3267">
        <v>0.1</v>
      </c>
      <c r="F89" s="3266">
        <v>15</v>
      </c>
    </row>
    <row r="90" spans="1:6" s="1023" customFormat="1">
      <c r="A90" s="3266">
        <v>18</v>
      </c>
      <c r="B90" s="4133" t="s">
        <v>2563</v>
      </c>
      <c r="C90" s="3244" t="s">
        <v>2564</v>
      </c>
      <c r="D90" s="3244" t="s">
        <v>2565</v>
      </c>
      <c r="E90" s="3267">
        <v>0.2</v>
      </c>
      <c r="F90" s="3266">
        <v>25</v>
      </c>
    </row>
    <row r="91" spans="1:6" s="1023" customFormat="1" ht="24">
      <c r="A91" s="3266">
        <v>19</v>
      </c>
      <c r="B91" s="4135"/>
      <c r="C91" s="3244" t="s">
        <v>2566</v>
      </c>
      <c r="D91" s="3244" t="s">
        <v>2567</v>
      </c>
      <c r="E91" s="3267">
        <v>0.2</v>
      </c>
      <c r="F91" s="3266">
        <v>25</v>
      </c>
    </row>
    <row r="92" spans="1:6" s="1023" customFormat="1">
      <c r="A92" s="3266">
        <v>20</v>
      </c>
      <c r="B92" s="4135"/>
      <c r="C92" s="3244" t="s">
        <v>2568</v>
      </c>
      <c r="D92" s="3244" t="s">
        <v>2569</v>
      </c>
      <c r="E92" s="3267">
        <v>0.15</v>
      </c>
      <c r="F92" s="3266">
        <v>20</v>
      </c>
    </row>
    <row r="93" spans="1:6" s="1023" customFormat="1" ht="24">
      <c r="A93" s="3266">
        <v>21</v>
      </c>
      <c r="B93" s="4135"/>
      <c r="C93" s="3244" t="s">
        <v>2570</v>
      </c>
      <c r="D93" s="3244" t="s">
        <v>2571</v>
      </c>
      <c r="E93" s="3267">
        <v>0.15</v>
      </c>
      <c r="F93" s="3266">
        <v>20</v>
      </c>
    </row>
    <row r="94" spans="1:6" s="1023" customFormat="1" ht="24">
      <c r="A94" s="3266">
        <v>22</v>
      </c>
      <c r="B94" s="4135"/>
      <c r="C94" s="3244" t="s">
        <v>2572</v>
      </c>
      <c r="D94" s="3244" t="s">
        <v>2573</v>
      </c>
      <c r="E94" s="3267">
        <v>0.15</v>
      </c>
      <c r="F94" s="3266">
        <v>20</v>
      </c>
    </row>
    <row r="95" spans="1:6" s="1023" customFormat="1" ht="36">
      <c r="A95" s="3266">
        <v>23</v>
      </c>
      <c r="B95" s="4135"/>
      <c r="C95" s="3244" t="s">
        <v>2574</v>
      </c>
      <c r="D95" s="3244" t="s">
        <v>2575</v>
      </c>
      <c r="E95" s="3267">
        <v>0.15</v>
      </c>
      <c r="F95" s="3266">
        <v>20</v>
      </c>
    </row>
    <row r="96" spans="1:6" s="1023" customFormat="1">
      <c r="A96" s="3266">
        <v>24</v>
      </c>
      <c r="B96" s="4135"/>
      <c r="C96" s="3244" t="s">
        <v>2576</v>
      </c>
      <c r="D96" s="3244" t="s">
        <v>2577</v>
      </c>
      <c r="E96" s="3267">
        <v>0.1</v>
      </c>
      <c r="F96" s="3266">
        <v>15</v>
      </c>
    </row>
    <row r="97" spans="1:6" s="1023" customFormat="1" ht="24">
      <c r="A97" s="3266">
        <v>25</v>
      </c>
      <c r="B97" s="4135"/>
      <c r="C97" s="3244" t="s">
        <v>2578</v>
      </c>
      <c r="D97" s="3244" t="s">
        <v>2579</v>
      </c>
      <c r="E97" s="3267">
        <v>0.1</v>
      </c>
      <c r="F97" s="3266">
        <v>15</v>
      </c>
    </row>
    <row r="98" spans="1:6" s="1023" customFormat="1" ht="24">
      <c r="A98" s="3266">
        <v>26</v>
      </c>
      <c r="B98" s="4135"/>
      <c r="C98" s="3244" t="s">
        <v>2580</v>
      </c>
      <c r="D98" s="3244" t="s">
        <v>2581</v>
      </c>
      <c r="E98" s="3267">
        <v>0.1</v>
      </c>
      <c r="F98" s="3266">
        <v>15</v>
      </c>
    </row>
    <row r="99" spans="1:6" s="1023" customFormat="1" ht="24">
      <c r="A99" s="3266">
        <v>27</v>
      </c>
      <c r="B99" s="4135"/>
      <c r="C99" s="3244" t="s">
        <v>2582</v>
      </c>
      <c r="D99" s="3244" t="s">
        <v>2583</v>
      </c>
      <c r="E99" s="3267">
        <v>0.1</v>
      </c>
      <c r="F99" s="3266">
        <v>15</v>
      </c>
    </row>
    <row r="100" spans="1:6" s="1023" customFormat="1" ht="24">
      <c r="A100" s="3266">
        <v>28</v>
      </c>
      <c r="B100" s="4135"/>
      <c r="C100" s="3244" t="s">
        <v>2584</v>
      </c>
      <c r="D100" s="3244" t="s">
        <v>2585</v>
      </c>
      <c r="E100" s="3267">
        <v>0.1</v>
      </c>
      <c r="F100" s="3266">
        <v>15</v>
      </c>
    </row>
    <row r="101" spans="1:6" s="1023" customFormat="1" ht="24">
      <c r="A101" s="3266">
        <v>29</v>
      </c>
      <c r="B101" s="4135"/>
      <c r="C101" s="3244" t="s">
        <v>2586</v>
      </c>
      <c r="D101" s="3244" t="s">
        <v>2587</v>
      </c>
      <c r="E101" s="3267">
        <v>0.1</v>
      </c>
      <c r="F101" s="3266">
        <v>15</v>
      </c>
    </row>
    <row r="102" spans="1:6" s="1023" customFormat="1" ht="24">
      <c r="A102" s="3266">
        <v>30</v>
      </c>
      <c r="B102" s="4135"/>
      <c r="C102" s="3244" t="s">
        <v>2588</v>
      </c>
      <c r="D102" s="3244" t="s">
        <v>2589</v>
      </c>
      <c r="E102" s="3267">
        <v>0.1</v>
      </c>
      <c r="F102" s="3266">
        <v>15</v>
      </c>
    </row>
    <row r="103" spans="1:6" s="1023" customFormat="1" ht="24">
      <c r="A103" s="3266">
        <v>31</v>
      </c>
      <c r="B103" s="4135"/>
      <c r="C103" s="3244" t="s">
        <v>2590</v>
      </c>
      <c r="D103" s="3244" t="s">
        <v>2591</v>
      </c>
      <c r="E103" s="3267">
        <v>0.1</v>
      </c>
      <c r="F103" s="3266">
        <v>15</v>
      </c>
    </row>
    <row r="104" spans="1:6" s="1023" customFormat="1" ht="24">
      <c r="A104" s="3266">
        <v>32</v>
      </c>
      <c r="B104" s="4135"/>
      <c r="C104" s="3244" t="s">
        <v>2592</v>
      </c>
      <c r="D104" s="3244" t="s">
        <v>2593</v>
      </c>
      <c r="E104" s="3267">
        <v>0.1</v>
      </c>
      <c r="F104" s="3266">
        <v>15</v>
      </c>
    </row>
    <row r="105" spans="1:6" s="1023" customFormat="1" ht="24">
      <c r="A105" s="3266">
        <v>33</v>
      </c>
      <c r="B105" s="4135"/>
      <c r="C105" s="3244" t="s">
        <v>2594</v>
      </c>
      <c r="D105" s="3244" t="s">
        <v>2595</v>
      </c>
      <c r="E105" s="3267">
        <v>0.1</v>
      </c>
      <c r="F105" s="3266">
        <v>15</v>
      </c>
    </row>
    <row r="106" spans="1:6" s="1023" customFormat="1" ht="24">
      <c r="A106" s="3266">
        <v>34</v>
      </c>
      <c r="B106" s="4134"/>
      <c r="C106" s="3244" t="s">
        <v>2596</v>
      </c>
      <c r="D106" s="3244" t="s">
        <v>2597</v>
      </c>
      <c r="E106" s="3267">
        <v>0.1</v>
      </c>
      <c r="F106" s="3266">
        <v>15</v>
      </c>
    </row>
    <row r="107" spans="1:6" s="1023" customFormat="1" ht="24">
      <c r="A107" s="3266">
        <v>35</v>
      </c>
      <c r="B107" s="4133" t="s">
        <v>2598</v>
      </c>
      <c r="C107" s="3266" t="s">
        <v>2599</v>
      </c>
      <c r="D107" s="3244" t="s">
        <v>2600</v>
      </c>
      <c r="E107" s="3267">
        <v>0.15</v>
      </c>
      <c r="F107" s="3266">
        <v>20</v>
      </c>
    </row>
    <row r="108" spans="1:6" s="1023" customFormat="1" ht="24">
      <c r="A108" s="3266">
        <v>36</v>
      </c>
      <c r="B108" s="4135"/>
      <c r="C108" s="3266" t="s">
        <v>2601</v>
      </c>
      <c r="D108" s="3244" t="s">
        <v>2602</v>
      </c>
      <c r="E108" s="3267">
        <v>0.15</v>
      </c>
      <c r="F108" s="3266">
        <v>20</v>
      </c>
    </row>
    <row r="109" spans="1:6" s="1023" customFormat="1" ht="24">
      <c r="A109" s="3266">
        <v>37</v>
      </c>
      <c r="B109" s="4135"/>
      <c r="C109" s="3266" t="s">
        <v>2603</v>
      </c>
      <c r="D109" s="3244" t="s">
        <v>2604</v>
      </c>
      <c r="E109" s="3267">
        <v>0.15</v>
      </c>
      <c r="F109" s="3266">
        <v>20</v>
      </c>
    </row>
    <row r="110" spans="1:6" s="1023" customFormat="1">
      <c r="A110" s="3266">
        <v>38</v>
      </c>
      <c r="B110" s="4135"/>
      <c r="C110" s="3266" t="s">
        <v>2605</v>
      </c>
      <c r="D110" s="3244" t="s">
        <v>2606</v>
      </c>
      <c r="E110" s="3267">
        <v>0.1</v>
      </c>
      <c r="F110" s="3266">
        <v>15</v>
      </c>
    </row>
    <row r="111" spans="1:6" s="1023" customFormat="1" ht="24">
      <c r="A111" s="3266">
        <v>39</v>
      </c>
      <c r="B111" s="4135"/>
      <c r="C111" s="3266" t="s">
        <v>2607</v>
      </c>
      <c r="D111" s="3244" t="s">
        <v>2608</v>
      </c>
      <c r="E111" s="3267">
        <v>0.1</v>
      </c>
      <c r="F111" s="3266">
        <v>15</v>
      </c>
    </row>
    <row r="112" spans="1:6" s="1023" customFormat="1" ht="24">
      <c r="A112" s="3266">
        <v>40</v>
      </c>
      <c r="B112" s="4134"/>
      <c r="C112" s="3266" t="s">
        <v>2609</v>
      </c>
      <c r="D112" s="3244" t="s">
        <v>2610</v>
      </c>
      <c r="E112" s="3267">
        <v>0.1</v>
      </c>
      <c r="F112" s="3266">
        <v>15</v>
      </c>
    </row>
    <row r="113" spans="1:6" s="1023" customFormat="1" ht="24">
      <c r="A113" s="3266">
        <v>41</v>
      </c>
      <c r="B113" s="4132" t="s">
        <v>2611</v>
      </c>
      <c r="C113" s="3266" t="s">
        <v>2612</v>
      </c>
      <c r="D113" s="3244" t="s">
        <v>2613</v>
      </c>
      <c r="E113" s="3267">
        <v>0.1</v>
      </c>
      <c r="F113" s="3266">
        <v>15</v>
      </c>
    </row>
    <row r="114" spans="1:6" s="1023" customFormat="1">
      <c r="A114" s="3266">
        <v>42</v>
      </c>
      <c r="B114" s="4132"/>
      <c r="C114" s="3266" t="s">
        <v>2614</v>
      </c>
      <c r="D114" s="3244" t="s">
        <v>2615</v>
      </c>
      <c r="E114" s="3267">
        <v>0.1</v>
      </c>
      <c r="F114" s="3266">
        <v>15</v>
      </c>
    </row>
    <row r="115" spans="1:6" s="1023" customFormat="1" ht="24">
      <c r="A115" s="3266">
        <v>43</v>
      </c>
      <c r="B115" s="4132"/>
      <c r="C115" s="3266" t="s">
        <v>2616</v>
      </c>
      <c r="D115" s="3244" t="s">
        <v>2617</v>
      </c>
      <c r="E115" s="3267">
        <v>0.1</v>
      </c>
      <c r="F115" s="3266">
        <v>15</v>
      </c>
    </row>
    <row r="116" spans="1:6" s="1023" customFormat="1" ht="24">
      <c r="A116" s="3266">
        <v>44</v>
      </c>
      <c r="B116" s="4133" t="s">
        <v>2618</v>
      </c>
      <c r="C116" s="3266" t="s">
        <v>2619</v>
      </c>
      <c r="D116" s="3244" t="s">
        <v>2620</v>
      </c>
      <c r="E116" s="3267">
        <v>0.1</v>
      </c>
      <c r="F116" s="3266">
        <v>15</v>
      </c>
    </row>
    <row r="117" spans="1:6" s="1023" customFormat="1" ht="24">
      <c r="A117" s="3266">
        <v>45</v>
      </c>
      <c r="B117" s="4134"/>
      <c r="C117" s="3244" t="s">
        <v>2621</v>
      </c>
      <c r="D117" s="3244" t="s">
        <v>2622</v>
      </c>
      <c r="E117" s="3267">
        <v>0.1</v>
      </c>
      <c r="F117" s="3266">
        <v>15</v>
      </c>
    </row>
    <row r="118" spans="1:6" s="1023" customFormat="1" ht="24">
      <c r="A118" s="3266">
        <v>46</v>
      </c>
      <c r="B118" s="4133" t="s">
        <v>2623</v>
      </c>
      <c r="C118" s="3266" t="s">
        <v>2624</v>
      </c>
      <c r="D118" s="3244" t="s">
        <v>2625</v>
      </c>
      <c r="E118" s="3267">
        <v>0.1</v>
      </c>
      <c r="F118" s="3266">
        <v>15</v>
      </c>
    </row>
    <row r="119" spans="1:6" s="1023" customFormat="1" ht="24">
      <c r="A119" s="3266">
        <v>47</v>
      </c>
      <c r="B119" s="4134"/>
      <c r="C119" s="3266" t="s">
        <v>2626</v>
      </c>
      <c r="D119" s="3244" t="s">
        <v>2627</v>
      </c>
      <c r="E119" s="3267">
        <v>0.1</v>
      </c>
      <c r="F119" s="3266">
        <v>15</v>
      </c>
    </row>
    <row r="120" spans="1:6" s="1023" customFormat="1" ht="24">
      <c r="A120" s="3266">
        <v>48</v>
      </c>
      <c r="B120" s="4133" t="s">
        <v>2628</v>
      </c>
      <c r="C120" s="3266" t="s">
        <v>2629</v>
      </c>
      <c r="D120" s="3244" t="s">
        <v>2630</v>
      </c>
      <c r="E120" s="3267">
        <v>0.1</v>
      </c>
      <c r="F120" s="3266">
        <v>15</v>
      </c>
    </row>
    <row r="121" spans="1:6" s="1023" customFormat="1">
      <c r="A121" s="3266">
        <v>49</v>
      </c>
      <c r="B121" s="4134"/>
      <c r="C121" s="3266" t="s">
        <v>2631</v>
      </c>
      <c r="D121" s="3244" t="s">
        <v>2632</v>
      </c>
      <c r="E121" s="3267">
        <v>0.1</v>
      </c>
      <c r="F121" s="3266">
        <v>15</v>
      </c>
    </row>
    <row r="122" spans="1:6" s="1023" customFormat="1" ht="24">
      <c r="A122" s="3266">
        <v>50</v>
      </c>
      <c r="B122" s="4132" t="s">
        <v>2633</v>
      </c>
      <c r="C122" s="3266" t="s">
        <v>2634</v>
      </c>
      <c r="D122" s="3244" t="s">
        <v>2635</v>
      </c>
      <c r="E122" s="3267">
        <v>0.1</v>
      </c>
      <c r="F122" s="3266">
        <v>15</v>
      </c>
    </row>
    <row r="123" spans="1:6" s="1023" customFormat="1" ht="24">
      <c r="A123" s="3266">
        <v>51</v>
      </c>
      <c r="B123" s="4132"/>
      <c r="C123" s="3266" t="s">
        <v>2636</v>
      </c>
      <c r="D123" s="3244" t="s">
        <v>2637</v>
      </c>
      <c r="E123" s="3267">
        <v>0.1</v>
      </c>
      <c r="F123" s="3266">
        <v>15</v>
      </c>
    </row>
    <row r="124" spans="1:6" s="1023" customFormat="1" ht="24">
      <c r="A124" s="3266">
        <v>52</v>
      </c>
      <c r="B124" s="4132" t="s">
        <v>2638</v>
      </c>
      <c r="C124" s="3266" t="s">
        <v>2639</v>
      </c>
      <c r="D124" s="3244" t="s">
        <v>2640</v>
      </c>
      <c r="E124" s="3267">
        <v>0.1</v>
      </c>
      <c r="F124" s="3266">
        <v>15</v>
      </c>
    </row>
    <row r="125" spans="1:6" s="1023" customFormat="1" ht="24">
      <c r="A125" s="3266">
        <v>53</v>
      </c>
      <c r="B125" s="4132"/>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132" t="s">
        <v>2646</v>
      </c>
      <c r="C127" s="3266" t="s">
        <v>2647</v>
      </c>
      <c r="D127" s="3244" t="s">
        <v>2648</v>
      </c>
      <c r="E127" s="3267">
        <v>0.1</v>
      </c>
      <c r="F127" s="3266">
        <v>15</v>
      </c>
    </row>
    <row r="128" spans="1:6">
      <c r="A128" s="3266">
        <v>56</v>
      </c>
      <c r="B128" s="4132"/>
      <c r="C128" s="3266" t="s">
        <v>2649</v>
      </c>
      <c r="D128" s="3244" t="s">
        <v>2650</v>
      </c>
      <c r="E128" s="3267">
        <v>0.1</v>
      </c>
      <c r="F128" s="3266">
        <v>15</v>
      </c>
    </row>
    <row r="129" spans="1:14" ht="24">
      <c r="A129" s="3266">
        <v>57</v>
      </c>
      <c r="B129" s="4132"/>
      <c r="C129" s="3266" t="s">
        <v>2651</v>
      </c>
      <c r="D129" s="3244" t="s">
        <v>2652</v>
      </c>
      <c r="E129" s="3267">
        <v>0.1</v>
      </c>
      <c r="F129" s="3266">
        <v>15</v>
      </c>
    </row>
    <row r="130" spans="1:14" ht="24">
      <c r="A130" s="3266">
        <v>58</v>
      </c>
      <c r="B130" s="4132" t="s">
        <v>2653</v>
      </c>
      <c r="C130" s="3266" t="s">
        <v>2654</v>
      </c>
      <c r="D130" s="3244" t="s">
        <v>2655</v>
      </c>
      <c r="E130" s="3267">
        <v>0.1</v>
      </c>
      <c r="F130" s="3266">
        <v>15</v>
      </c>
    </row>
    <row r="131" spans="1:14" ht="24">
      <c r="A131" s="3266">
        <v>59</v>
      </c>
      <c r="B131" s="4132"/>
      <c r="C131" s="3266" t="s">
        <v>2656</v>
      </c>
      <c r="D131" s="3244" t="s">
        <v>2657</v>
      </c>
      <c r="E131" s="3267">
        <v>0.1</v>
      </c>
      <c r="F131" s="3266">
        <v>15</v>
      </c>
    </row>
    <row r="132" spans="1:14" ht="24">
      <c r="A132" s="3266">
        <v>60</v>
      </c>
      <c r="B132" s="4133" t="s">
        <v>2658</v>
      </c>
      <c r="C132" s="3266" t="s">
        <v>2659</v>
      </c>
      <c r="D132" s="3244" t="s">
        <v>2660</v>
      </c>
      <c r="E132" s="3267">
        <v>0.1</v>
      </c>
      <c r="F132" s="3266">
        <v>15</v>
      </c>
    </row>
    <row r="133" spans="1:14" ht="24">
      <c r="A133" s="3266">
        <v>61</v>
      </c>
      <c r="B133" s="4134"/>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132" t="s">
        <v>2666</v>
      </c>
      <c r="C135" s="3266" t="s">
        <v>2667</v>
      </c>
      <c r="D135" s="3244" t="s">
        <v>2668</v>
      </c>
      <c r="E135" s="3267">
        <v>0.1</v>
      </c>
      <c r="F135" s="3266">
        <v>15</v>
      </c>
    </row>
    <row r="136" spans="1:14">
      <c r="A136" s="3266">
        <v>64</v>
      </c>
      <c r="B136" s="4132"/>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144" t="s">
        <v>2814</v>
      </c>
      <c r="B1" s="4144"/>
      <c r="C1" s="4144"/>
      <c r="D1" s="4144"/>
      <c r="E1" s="4144"/>
      <c r="F1" s="4144"/>
      <c r="G1" s="4145"/>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146"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147"/>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148" t="s">
        <v>3189</v>
      </c>
      <c r="B1" s="4148"/>
      <c r="C1" s="4148"/>
      <c r="D1" s="4148"/>
      <c r="E1" s="4148"/>
      <c r="F1" s="4149"/>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150" t="s">
        <v>3027</v>
      </c>
      <c r="B1" s="4150"/>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L22" sqref="L22:L23"/>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153" t="s">
        <v>1858</v>
      </c>
      <c r="C1" s="4153"/>
      <c r="D1" s="4153"/>
      <c r="E1" s="4153"/>
      <c r="F1" s="4153"/>
      <c r="G1" s="4152" t="s">
        <v>1859</v>
      </c>
      <c r="H1" s="4152"/>
      <c r="I1" s="4152"/>
      <c r="J1" s="4152"/>
      <c r="K1" s="4152"/>
      <c r="L1" s="4152"/>
      <c r="N1" s="4152" t="s">
        <v>1860</v>
      </c>
      <c r="O1" s="4152"/>
      <c r="P1" s="4152"/>
      <c r="Q1" s="4152"/>
      <c r="S1" s="4152" t="s">
        <v>1861</v>
      </c>
      <c r="T1" s="4152"/>
      <c r="U1" s="4152"/>
      <c r="V1" s="4152"/>
      <c r="X1" s="4151" t="s">
        <v>1921</v>
      </c>
      <c r="Y1" s="4152"/>
      <c r="Z1" s="4152"/>
      <c r="AA1" s="4152"/>
      <c r="AB1" s="4152"/>
      <c r="AD1" s="4151" t="s">
        <v>1925</v>
      </c>
      <c r="AE1" s="4152"/>
      <c r="AF1" s="4152"/>
      <c r="AG1" s="4152"/>
      <c r="AH1" s="4152"/>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155">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155"/>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155"/>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16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160">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155"/>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155"/>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16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160">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155"/>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155"/>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156"/>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15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155"/>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155"/>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156"/>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15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155"/>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155"/>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156"/>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15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15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15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15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15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155"/>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155"/>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156"/>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15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155">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155">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156">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15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155">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155">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156">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15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155">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155">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156">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15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155">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155">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156">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15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155">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155">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156">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15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155">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155">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156">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15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155">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155">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156">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15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155">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155">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156">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15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155">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155">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156">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15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155">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155">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156">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115" zoomScaleNormal="115" workbookViewId="0">
      <selection activeCell="H6" sqref="H6"/>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162" t="s">
        <v>2800</v>
      </c>
      <c r="S1" s="4163"/>
      <c r="T1" s="4163"/>
      <c r="U1" s="4163"/>
      <c r="V1" s="4163"/>
      <c r="W1" s="4163"/>
      <c r="X1" s="3341"/>
      <c r="Y1" s="4162" t="s">
        <v>2811</v>
      </c>
      <c r="Z1" s="4163"/>
      <c r="AA1" s="4163"/>
      <c r="AB1" s="4163"/>
      <c r="AC1" s="4163"/>
      <c r="AD1" s="4163"/>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0.78</v>
      </c>
      <c r="E3" s="3348">
        <f>ROUND(AVERAGEIF(E4:E16,"&lt;&gt;0"),2)</f>
        <v>0.41</v>
      </c>
      <c r="F3" s="3348">
        <f>ROUND(AVERAGEIF(F4:F16,"&lt;&gt;0"),2)</f>
        <v>0.23</v>
      </c>
      <c r="G3" s="3348">
        <f>ROUND(AVERAGEIF(G4:G16,"&lt;&gt;0"),2)</f>
        <v>0.84</v>
      </c>
      <c r="H3" s="3348">
        <f>ROUND(AVERAGEIF(H4:H16,"&lt;&gt;0"),2)</f>
        <v>0.63</v>
      </c>
      <c r="I3" s="3348">
        <f>F3</f>
        <v>0.23</v>
      </c>
      <c r="J3" s="3349"/>
      <c r="K3" s="3350">
        <f>ROUND(AVERAGEIF(K4:K16,"&lt;&gt;0"),4)</f>
        <v>7.7999999999999996E-3</v>
      </c>
      <c r="L3" s="3351">
        <f>ROUND(AVERAGEIF(L4:L16,"&lt;&gt;0"),4)</f>
        <v>4.1000000000000003E-3</v>
      </c>
      <c r="M3" s="3351">
        <f>ROUND(AVERAGEIF(M4:M16,"&lt;&gt;0"),4)</f>
        <v>2.3E-3</v>
      </c>
      <c r="N3" s="3351">
        <f>ROUND(AVERAGEIF(N4:N16,"&lt;&gt;0"),4)</f>
        <v>8.3999999999999995E-3</v>
      </c>
      <c r="O3" s="3351">
        <f>ROUND(AVERAGEIF(O4:O16,"&lt;&gt;0"),4)</f>
        <v>6.3E-3</v>
      </c>
      <c r="P3" s="3351">
        <f>M3</f>
        <v>2.3E-3</v>
      </c>
      <c r="Q3" s="3349"/>
      <c r="R3" s="3366">
        <f>ROUND(SUMPRODUCT(PRODUCT(1+K4:K16)),4)</f>
        <v>1.0888</v>
      </c>
      <c r="S3" s="3367">
        <f>ROUND(SUMPRODUCT(PRODUCT(1+L4:L16)),4)</f>
        <v>1.0463</v>
      </c>
      <c r="T3" s="3367">
        <f>ROUND(SUMPRODUCT(PRODUCT(1+M4:M16)),4)</f>
        <v>1.0257000000000001</v>
      </c>
      <c r="U3" s="3367">
        <f>ROUND(SUMPRODUCT(PRODUCT(1+N4:N16)),4)</f>
        <v>1.0961000000000001</v>
      </c>
      <c r="V3" s="3367">
        <f>ROUND(SUMPRODUCT(PRODUCT(1+O4:O16)),4)</f>
        <v>1.0713999999999999</v>
      </c>
      <c r="W3" s="3366">
        <f>T3</f>
        <v>1.0257000000000001</v>
      </c>
      <c r="X3" s="3349"/>
      <c r="Y3" s="3374">
        <f>ROUND(AVERAGEIF(Y5:Y16,"&lt;&gt;0"),4)</f>
        <v>8.5000000000000006E-3</v>
      </c>
      <c r="Z3" s="3375">
        <f>ROUND(AVERAGEIF(Z5:Z16,"&lt;&gt;0"),4)</f>
        <v>3.7000000000000002E-3</v>
      </c>
      <c r="AA3" s="3376">
        <f>ROUND(AVERAGEIF(AA5:AA16,"&lt;&gt;0"),4)</f>
        <v>1.1999999999999999E-3</v>
      </c>
      <c r="AB3" s="3374">
        <f>ROUND(AVERAGEIF(AB5:AB16,"&lt;&gt;0"),4)</f>
        <v>9.2999999999999992E-3</v>
      </c>
      <c r="AC3" s="3377">
        <f>ROUND(AVERAGEIF(AC5:AC16,"&lt;&gt;0"),4)</f>
        <v>6.1999999999999998E-3</v>
      </c>
      <c r="AD3" s="3374">
        <f>AA3</f>
        <v>1.1999999999999999E-3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1.0888</v>
      </c>
      <c r="S5" s="3372">
        <f>ROUND(IF(项目基本情况!$B$8="出让",SUMPRODUCT(PRODUCT(1+L5:$L$16)),SUMPRODUCT(PRODUCT(1+L5:$L$15))),4)</f>
        <v>1.0463</v>
      </c>
      <c r="T5" s="3372">
        <f>ROUND(IF(项目基本情况!$B$8="出让",SUMPRODUCT(PRODUCT(1+M5:$M$16)),SUMPRODUCT(PRODUCT(1+M5:$M$15))),4)</f>
        <v>1.0257000000000001</v>
      </c>
      <c r="U5" s="3372">
        <f>ROUND(IF(项目基本情况!$B$8="出让",SUMPRODUCT(PRODUCT(1+N5:$N$16)),SUMPRODUCT(PRODUCT(1+N5:$N$15))),4)</f>
        <v>1.0961000000000001</v>
      </c>
      <c r="V5" s="3372">
        <f>ROUND(IF(项目基本情况!$B$8="出让",SUMPRODUCT(PRODUCT(1+O5:$O$16)),SUMPRODUCT(PRODUCT(1+O5:$O$15))),4)</f>
        <v>1.0713999999999999</v>
      </c>
      <c r="W5" s="3372">
        <f>T5</f>
        <v>1.0257000000000001</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0.25</v>
      </c>
      <c r="E6" s="3395">
        <v>0.5</v>
      </c>
      <c r="F6" s="3395">
        <v>0.31</v>
      </c>
      <c r="G6" s="3395">
        <v>0.21</v>
      </c>
      <c r="H6" s="3395">
        <v>0.43</v>
      </c>
      <c r="I6" s="3396">
        <f t="shared" si="0"/>
        <v>0.31</v>
      </c>
      <c r="J6" s="3356"/>
      <c r="K6" s="3357">
        <f t="shared" ref="K6:K8" si="3">D6/100</f>
        <v>2.5000000000000001E-3</v>
      </c>
      <c r="L6" s="3358">
        <f t="shared" ref="L6:L8" si="4">E6/100</f>
        <v>5.0000000000000001E-3</v>
      </c>
      <c r="M6" s="3358">
        <f t="shared" ref="M6:M8" si="5">F6/100</f>
        <v>3.0999999999999999E-3</v>
      </c>
      <c r="N6" s="3358">
        <f t="shared" ref="N6:N8" si="6">G6/100</f>
        <v>2.0999999999999999E-3</v>
      </c>
      <c r="O6" s="3358">
        <f t="shared" ref="O6:O8" si="7">H6/100</f>
        <v>4.3E-3</v>
      </c>
      <c r="P6" s="3358">
        <f t="shared" ref="P6:P8" si="8">M6</f>
        <v>3.0999999999999999E-3</v>
      </c>
      <c r="Q6" s="3356"/>
      <c r="R6" s="3372">
        <f>ROUND(IF(项目基本情况!$B$8="出让",SUMPRODUCT(PRODUCT(1+K6:$K$16)),SUMPRODUCT(PRODUCT(1+K6:$K$15))),4)</f>
        <v>1.0888</v>
      </c>
      <c r="S6" s="3372">
        <f>ROUND(IF(项目基本情况!$B$8="出让",SUMPRODUCT(PRODUCT(1+L6:$L$16)),SUMPRODUCT(PRODUCT(1+L6:$L$15))),4)</f>
        <v>1.0463</v>
      </c>
      <c r="T6" s="3372">
        <f>ROUND(IF(项目基本情况!$B$8="出让",SUMPRODUCT(PRODUCT(1+M6:$M$16)),SUMPRODUCT(PRODUCT(1+M6:$M$15))),4)</f>
        <v>1.0257000000000001</v>
      </c>
      <c r="U6" s="3372">
        <f>ROUND(IF(项目基本情况!$B$8="出让",SUMPRODUCT(PRODUCT(1+N6:$N$16)),SUMPRODUCT(PRODUCT(1+N6:$N$15))),4)</f>
        <v>1.0961000000000001</v>
      </c>
      <c r="V6" s="3372">
        <f>ROUND(IF(项目基本情况!$B$8="出让",SUMPRODUCT(PRODUCT(1+O6:$O$16)),SUMPRODUCT(PRODUCT(1+O6:$O$15))),4)</f>
        <v>1.0713999999999999</v>
      </c>
      <c r="W6" s="3372">
        <f t="shared" ref="W6:W8" si="9">T6</f>
        <v>1.0257000000000001</v>
      </c>
      <c r="X6" s="3356"/>
      <c r="Y6" s="3381">
        <f t="shared" ref="Y6:AC6" si="10">IF(D6=0,0,ROUND(AVERAGE(D6:D17)/100,4))</f>
        <v>7.7999999999999996E-3</v>
      </c>
      <c r="Z6" s="3381">
        <f t="shared" si="10"/>
        <v>4.1000000000000003E-3</v>
      </c>
      <c r="AA6" s="3381">
        <f t="shared" si="10"/>
        <v>2.3E-3</v>
      </c>
      <c r="AB6" s="3381">
        <f t="shared" si="10"/>
        <v>8.3999999999999995E-3</v>
      </c>
      <c r="AC6" s="3381">
        <f t="shared" si="10"/>
        <v>6.3E-3</v>
      </c>
      <c r="AD6" s="3381">
        <f t="shared" ref="AD6:AD8" si="11">AA6</f>
        <v>2.3E-3</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162" t="s">
        <v>2807</v>
      </c>
      <c r="S21" s="4163"/>
      <c r="T21" s="4163"/>
      <c r="U21" s="4163"/>
      <c r="V21" s="4163"/>
      <c r="W21" s="4163"/>
      <c r="X21" s="3341"/>
      <c r="Y21" s="4162" t="s">
        <v>1925</v>
      </c>
      <c r="Z21" s="4163"/>
      <c r="AA21" s="4163"/>
      <c r="AB21" s="4163"/>
      <c r="AC21" s="4163"/>
      <c r="AD21" s="4163"/>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050" t="s">
        <v>1807</v>
      </c>
      <c r="C8" s="1610">
        <f ca="1">ROUND(F8*F10*F9*(1-F11)/10000,0)</f>
        <v>0</v>
      </c>
      <c r="D8" s="1607" t="s">
        <v>1817</v>
      </c>
      <c r="E8" s="59" t="s">
        <v>585</v>
      </c>
      <c r="F8" s="749">
        <f ca="1">INDIRECT("'数据-取费表'!u"&amp;$G$1)</f>
        <v>0</v>
      </c>
      <c r="G8" s="1403"/>
      <c r="H8" s="2149" t="s">
        <v>1353</v>
      </c>
      <c r="I8" s="4050" t="s">
        <v>1807</v>
      </c>
      <c r="J8" s="747">
        <f ca="1">ROUND(M8*M10*M9*(1-M11)/10000,0)</f>
        <v>0</v>
      </c>
      <c r="K8" s="332" t="s">
        <v>1817</v>
      </c>
      <c r="L8" s="748" t="s">
        <v>1267</v>
      </c>
      <c r="M8" s="749">
        <f ca="1">INDIRECT("'数据-取费表'!z"&amp;$G$1)</f>
        <v>0</v>
      </c>
    </row>
    <row r="9" spans="1:25" ht="18" customHeight="1">
      <c r="A9" s="2145"/>
      <c r="B9" s="4051"/>
      <c r="C9" s="1611"/>
      <c r="D9" s="1608"/>
      <c r="E9" s="59" t="s">
        <v>586</v>
      </c>
      <c r="F9" s="749">
        <f ca="1">IF(INDIRECT("'数据-取费表'!ah"&amp;$G$1)="",INDIRECT("'数据-取费表'!k"&amp;$G$1),INDIRECT("'数据-取费表'!ah"&amp;$G$1))</f>
        <v>0</v>
      </c>
      <c r="G9" s="1403"/>
      <c r="H9" s="2134"/>
      <c r="I9" s="4051"/>
      <c r="J9" s="752"/>
      <c r="K9" s="753"/>
      <c r="L9" s="748" t="s">
        <v>1268</v>
      </c>
      <c r="M9" s="749">
        <f ca="1">F9</f>
        <v>0</v>
      </c>
    </row>
    <row r="10" spans="1:25" ht="18" customHeight="1">
      <c r="A10" s="2138"/>
      <c r="B10" s="4052"/>
      <c r="C10" s="1611"/>
      <c r="D10" s="1608"/>
      <c r="E10" s="59" t="s">
        <v>587</v>
      </c>
      <c r="F10" s="749">
        <f ca="1">INDIRECT("'数据-取费表'!ai"&amp;$G$1)</f>
        <v>0</v>
      </c>
      <c r="G10" s="1403"/>
      <c r="H10" s="2134"/>
      <c r="I10" s="4052"/>
      <c r="J10" s="752"/>
      <c r="K10" s="753"/>
      <c r="L10" s="748" t="s">
        <v>1269</v>
      </c>
      <c r="M10" s="749">
        <f ca="1">INDIRECT("'数据-取费表'!ai"&amp;$G$1)</f>
        <v>0</v>
      </c>
    </row>
    <row r="11" spans="1:25" ht="18" customHeight="1">
      <c r="A11" s="750"/>
      <c r="B11" s="4053"/>
      <c r="C11" s="1611"/>
      <c r="D11" s="1608"/>
      <c r="E11" s="59" t="s">
        <v>588</v>
      </c>
      <c r="F11" s="758">
        <f ca="1">INDIRECT("'数据-取费表'!w"&amp;$G$1)</f>
        <v>0</v>
      </c>
      <c r="G11" s="1403"/>
      <c r="H11" s="2150"/>
      <c r="I11" s="4052"/>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164"/>
      <c r="J36" s="1801"/>
      <c r="K36" s="1802"/>
      <c r="L36" s="1801"/>
      <c r="M36" s="1801"/>
    </row>
    <row r="37" spans="1:18" ht="18" customHeight="1">
      <c r="A37" s="778"/>
      <c r="B37" s="757"/>
      <c r="C37" s="67"/>
      <c r="D37" s="779"/>
      <c r="E37" s="748" t="s">
        <v>621</v>
      </c>
      <c r="F37" s="749">
        <f ca="1">INDIRECT("'数据-取费表'!r"&amp;$G$1)</f>
        <v>0</v>
      </c>
      <c r="G37" s="1784"/>
      <c r="H37" s="1787"/>
      <c r="I37" s="4164"/>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165"/>
      <c r="L54" s="4166"/>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173" t="s">
        <v>2301</v>
      </c>
      <c r="K2" s="4174"/>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175" t="s">
        <v>2311</v>
      </c>
      <c r="K3" s="4176"/>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175" t="s">
        <v>2313</v>
      </c>
      <c r="K4" s="4176"/>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181" t="s">
        <v>2317</v>
      </c>
      <c r="B6" s="4182"/>
      <c r="C6" s="4183"/>
      <c r="D6" s="3089"/>
      <c r="E6" s="3090"/>
      <c r="F6" s="3091"/>
      <c r="G6" s="3092"/>
      <c r="H6" s="3067"/>
      <c r="I6" s="3068"/>
      <c r="J6" s="4167">
        <v>1</v>
      </c>
      <c r="K6" s="4168"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167"/>
      <c r="K7" s="4169"/>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184" t="s">
        <v>2331</v>
      </c>
      <c r="C8" s="4185"/>
      <c r="D8" s="3108" t="s">
        <v>2332</v>
      </c>
      <c r="E8" s="3109" t="s">
        <v>2333</v>
      </c>
      <c r="F8" s="3110" t="s">
        <v>2334</v>
      </c>
      <c r="G8" s="3111"/>
      <c r="H8" s="3067"/>
      <c r="I8" s="3068"/>
      <c r="J8" s="4167"/>
      <c r="K8" s="4169"/>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184" t="s">
        <v>2337</v>
      </c>
      <c r="C9" s="4185"/>
      <c r="D9" s="3108">
        <f>ROUND(D6*E9,0)</f>
        <v>0</v>
      </c>
      <c r="E9" s="3112"/>
      <c r="F9" s="3113" t="s">
        <v>2338</v>
      </c>
      <c r="G9" s="3092"/>
      <c r="H9" s="3067"/>
      <c r="I9" s="3068"/>
      <c r="J9" s="4167"/>
      <c r="K9" s="4169"/>
      <c r="L9" s="3102" t="s">
        <v>2339</v>
      </c>
      <c r="M9" s="3103"/>
      <c r="N9" s="3079"/>
      <c r="O9" s="3104"/>
      <c r="P9" s="3104"/>
      <c r="Q9" s="3105">
        <v>365</v>
      </c>
      <c r="R9" s="3106">
        <f t="shared" si="0"/>
        <v>0</v>
      </c>
      <c r="S9" s="3059"/>
      <c r="T9" s="3059"/>
      <c r="U9" s="3059"/>
      <c r="V9" s="3068"/>
    </row>
    <row r="10" spans="1:22" s="3072" customFormat="1" ht="13.15" customHeight="1">
      <c r="A10" s="3107">
        <v>2</v>
      </c>
      <c r="B10" s="4184" t="s">
        <v>2340</v>
      </c>
      <c r="C10" s="4185"/>
      <c r="D10" s="3108">
        <f>ROUND(D6*E10,0)</f>
        <v>0</v>
      </c>
      <c r="E10" s="3112"/>
      <c r="F10" s="3113" t="s">
        <v>2341</v>
      </c>
      <c r="G10" s="3092"/>
      <c r="H10" s="3067"/>
      <c r="I10" s="3068"/>
      <c r="J10" s="4167"/>
      <c r="K10" s="4169"/>
      <c r="L10" s="3102" t="s">
        <v>2342</v>
      </c>
      <c r="M10" s="3103"/>
      <c r="N10" s="3079"/>
      <c r="O10" s="3104"/>
      <c r="P10" s="3104"/>
      <c r="Q10" s="3105">
        <v>365</v>
      </c>
      <c r="R10" s="3106">
        <f t="shared" si="0"/>
        <v>0</v>
      </c>
      <c r="S10" s="3059"/>
      <c r="T10" s="3059"/>
      <c r="U10" s="3059"/>
      <c r="V10" s="3068"/>
    </row>
    <row r="11" spans="1:22" s="3072" customFormat="1" ht="13.15" customHeight="1">
      <c r="A11" s="3107">
        <v>3</v>
      </c>
      <c r="B11" s="4184" t="s">
        <v>2343</v>
      </c>
      <c r="C11" s="4185"/>
      <c r="D11" s="3108">
        <f>D12+D14+D15+D16</f>
        <v>0</v>
      </c>
      <c r="E11" s="3114" t="e">
        <f>D11/D6</f>
        <v>#DIV/0!</v>
      </c>
      <c r="F11" s="3110"/>
      <c r="G11" s="3111"/>
      <c r="H11" s="3067"/>
      <c r="I11" s="3068"/>
      <c r="J11" s="4167"/>
      <c r="K11" s="4169"/>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177" t="s">
        <v>2346</v>
      </c>
      <c r="C12" s="4178"/>
      <c r="D12" s="3116">
        <f>ROUND(D13*1.2%*(1-30%),0)</f>
        <v>0</v>
      </c>
      <c r="E12" s="3117">
        <v>1.2E-2</v>
      </c>
      <c r="F12" s="3110" t="s">
        <v>2347</v>
      </c>
      <c r="G12" s="3111"/>
      <c r="H12" s="3067"/>
      <c r="I12" s="3068"/>
      <c r="J12" s="4167"/>
      <c r="K12" s="4169"/>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167"/>
      <c r="K13" s="4169"/>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177" t="s">
        <v>2352</v>
      </c>
      <c r="C14" s="4178"/>
      <c r="D14" s="3116">
        <f>ROUND(E14*B5/10000,0)</f>
        <v>0</v>
      </c>
      <c r="E14" s="3105"/>
      <c r="F14" s="3110" t="s">
        <v>2353</v>
      </c>
      <c r="G14" s="3111"/>
      <c r="H14" s="3067"/>
      <c r="I14" s="3068"/>
      <c r="J14" s="4167"/>
      <c r="K14" s="4170"/>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177" t="s">
        <v>2356</v>
      </c>
      <c r="C15" s="4178"/>
      <c r="D15" s="3116">
        <f>ROUND(D6*E15,0)</f>
        <v>0</v>
      </c>
      <c r="E15" s="3117">
        <v>5.5E-2</v>
      </c>
      <c r="F15" s="3110" t="s">
        <v>2357</v>
      </c>
      <c r="G15" s="3092"/>
      <c r="H15" s="3067"/>
      <c r="I15" s="3068"/>
      <c r="J15" s="4167">
        <v>2</v>
      </c>
      <c r="K15" s="4168"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177" t="s">
        <v>2367</v>
      </c>
      <c r="C16" s="4178"/>
      <c r="D16" s="3127">
        <f>D6*E16</f>
        <v>0</v>
      </c>
      <c r="E16" s="3128"/>
      <c r="F16" s="3113" t="s">
        <v>2368</v>
      </c>
      <c r="G16" s="3092"/>
      <c r="H16" s="3067"/>
      <c r="I16" s="3068"/>
      <c r="J16" s="4167"/>
      <c r="K16" s="4169"/>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179" t="s">
        <v>2370</v>
      </c>
      <c r="C17" s="4180"/>
      <c r="D17" s="3130">
        <f>ROUND(D6*E17,0)</f>
        <v>0</v>
      </c>
      <c r="E17" s="3131"/>
      <c r="F17" s="3132" t="s">
        <v>2371</v>
      </c>
      <c r="G17" s="3092"/>
      <c r="H17" s="3067"/>
      <c r="I17" s="3068"/>
      <c r="J17" s="4167"/>
      <c r="K17" s="4169"/>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167"/>
      <c r="K18" s="4169"/>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167"/>
      <c r="K19" s="4170"/>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167">
        <v>3</v>
      </c>
      <c r="K20" s="4168"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167"/>
      <c r="K21" s="4169"/>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167"/>
      <c r="K22" s="4169"/>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167"/>
      <c r="K23" s="4169"/>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167"/>
      <c r="K24" s="4170"/>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171">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172"/>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173" t="s">
        <v>2413</v>
      </c>
      <c r="K32" s="4174"/>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175" t="s">
        <v>2417</v>
      </c>
      <c r="K33" s="4176"/>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175" t="s">
        <v>2419</v>
      </c>
      <c r="K34" s="4176"/>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167">
        <v>1</v>
      </c>
      <c r="K36" s="4168"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167"/>
      <c r="K37" s="4169"/>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167"/>
      <c r="K38" s="4169"/>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167"/>
      <c r="K39" s="4169"/>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167"/>
      <c r="K40" s="4170"/>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171">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172"/>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4077" t="s">
        <v>471</v>
      </c>
      <c r="D4" s="4078"/>
      <c r="E4" s="4099" t="s">
        <v>472</v>
      </c>
      <c r="F4" s="4100"/>
      <c r="G4" s="4077" t="s">
        <v>473</v>
      </c>
      <c r="H4" s="4078"/>
      <c r="I4" s="4077" t="s">
        <v>474</v>
      </c>
      <c r="J4" s="4078"/>
      <c r="K4" s="816" t="s">
        <v>475</v>
      </c>
      <c r="L4" s="1854"/>
      <c r="M4" s="1855"/>
      <c r="N4" s="1855"/>
      <c r="O4" s="1855"/>
      <c r="P4" s="4079" t="s">
        <v>476</v>
      </c>
      <c r="Q4" s="4080"/>
      <c r="R4" s="4063" t="s">
        <v>472</v>
      </c>
      <c r="S4" s="4064"/>
      <c r="T4" s="4063" t="s">
        <v>473</v>
      </c>
      <c r="U4" s="4064"/>
      <c r="V4" s="4085" t="s">
        <v>474</v>
      </c>
      <c r="W4" s="4085"/>
      <c r="X4" s="1378"/>
      <c r="Y4" s="4063" t="s">
        <v>476</v>
      </c>
      <c r="Z4" s="4064"/>
      <c r="AA4" s="4058" t="s">
        <v>472</v>
      </c>
      <c r="AB4" s="4058" t="s">
        <v>473</v>
      </c>
      <c r="AC4" s="4058" t="s">
        <v>474</v>
      </c>
    </row>
    <row r="5" spans="1:29" ht="15">
      <c r="A5" s="483"/>
      <c r="B5" s="484"/>
      <c r="C5" s="4088" t="s">
        <v>2190</v>
      </c>
      <c r="D5" s="4089"/>
      <c r="E5" s="4101" t="s">
        <v>2191</v>
      </c>
      <c r="F5" s="4102"/>
      <c r="G5" s="4088" t="s">
        <v>2192</v>
      </c>
      <c r="H5" s="4089"/>
      <c r="I5" s="4088" t="s">
        <v>2193</v>
      </c>
      <c r="J5" s="4089"/>
      <c r="K5" s="817"/>
      <c r="L5" s="1854"/>
      <c r="M5" s="1855"/>
      <c r="N5" s="1855"/>
      <c r="O5" s="1855"/>
      <c r="P5" s="4081"/>
      <c r="Q5" s="4082"/>
      <c r="R5" s="4065"/>
      <c r="S5" s="4066"/>
      <c r="T5" s="4065"/>
      <c r="U5" s="4066"/>
      <c r="V5" s="4085"/>
      <c r="W5" s="4085"/>
      <c r="X5" s="1378"/>
      <c r="Y5" s="4065"/>
      <c r="Z5" s="4066"/>
      <c r="AA5" s="4059"/>
      <c r="AB5" s="4059"/>
      <c r="AC5" s="4059"/>
    </row>
    <row r="6" spans="1:29" ht="15.75" thickBot="1">
      <c r="A6" s="485"/>
      <c r="B6" s="486"/>
      <c r="C6" s="4086" t="s">
        <v>2194</v>
      </c>
      <c r="D6" s="4087"/>
      <c r="E6" s="4186" t="s">
        <v>2194</v>
      </c>
      <c r="F6" s="4104"/>
      <c r="G6" s="4086" t="s">
        <v>2194</v>
      </c>
      <c r="H6" s="4087"/>
      <c r="I6" s="4086" t="s">
        <v>2194</v>
      </c>
      <c r="J6" s="4087"/>
      <c r="K6" s="817" t="s">
        <v>477</v>
      </c>
      <c r="L6" s="1854"/>
      <c r="M6" s="1855"/>
      <c r="N6" s="1855"/>
      <c r="O6" s="1855"/>
      <c r="P6" s="4083"/>
      <c r="Q6" s="4084"/>
      <c r="R6" s="4065"/>
      <c r="S6" s="4066"/>
      <c r="T6" s="4067"/>
      <c r="U6" s="4068"/>
      <c r="V6" s="4085"/>
      <c r="W6" s="4085"/>
      <c r="X6" s="1378"/>
      <c r="Y6" s="4067"/>
      <c r="Z6" s="4068"/>
      <c r="AA6" s="4060"/>
      <c r="AB6" s="4060"/>
      <c r="AC6" s="4060"/>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4061" t="s">
        <v>479</v>
      </c>
      <c r="Q7" s="4070"/>
      <c r="R7" s="1379" t="s">
        <v>10</v>
      </c>
      <c r="S7" s="1380">
        <f t="shared" ref="S7:S15" si="0">F7</f>
        <v>0</v>
      </c>
      <c r="T7" s="1379" t="s">
        <v>10</v>
      </c>
      <c r="U7" s="1380">
        <f t="shared" ref="U7:U15" si="1">H7</f>
        <v>0</v>
      </c>
      <c r="V7" s="1379" t="s">
        <v>10</v>
      </c>
      <c r="W7" s="1380">
        <f t="shared" ref="W7:W15"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4061" t="s">
        <v>482</v>
      </c>
      <c r="Q8" s="4062"/>
      <c r="R8" s="1379" t="s">
        <v>10</v>
      </c>
      <c r="S8" s="1380">
        <f t="shared" si="0"/>
        <v>0</v>
      </c>
      <c r="T8" s="1379" t="s">
        <v>10</v>
      </c>
      <c r="U8" s="1380">
        <f t="shared" si="1"/>
        <v>0</v>
      </c>
      <c r="V8" s="1379" t="s">
        <v>10</v>
      </c>
      <c r="W8" s="1380">
        <f t="shared" si="2"/>
        <v>0</v>
      </c>
      <c r="X8" s="1381"/>
      <c r="Y8" s="4061" t="s">
        <v>482</v>
      </c>
      <c r="Z8" s="40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069" t="s">
        <v>484</v>
      </c>
      <c r="Q9" s="1048" t="str">
        <f t="shared" ref="Q9:Q15" si="6">B9</f>
        <v>用途</v>
      </c>
      <c r="R9" s="1379" t="s">
        <v>5</v>
      </c>
      <c r="S9" s="1380">
        <f t="shared" si="0"/>
        <v>100</v>
      </c>
      <c r="T9" s="1379" t="s">
        <v>5</v>
      </c>
      <c r="U9" s="1380">
        <f t="shared" si="1"/>
        <v>100</v>
      </c>
      <c r="V9" s="1379" t="s">
        <v>5</v>
      </c>
      <c r="W9" s="1380">
        <f t="shared" si="2"/>
        <v>100</v>
      </c>
      <c r="X9" s="1381"/>
      <c r="Y9" s="400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4069"/>
      <c r="Q11" s="1048" t="str">
        <f t="shared" si="6"/>
        <v>容积率</v>
      </c>
      <c r="R11" s="1379" t="s">
        <v>8</v>
      </c>
      <c r="S11" s="1380" t="e">
        <f t="shared" si="0"/>
        <v>#N/A</v>
      </c>
      <c r="T11" s="1379" t="s">
        <v>8</v>
      </c>
      <c r="U11" s="1380" t="e">
        <f t="shared" si="1"/>
        <v>#N/A</v>
      </c>
      <c r="V11" s="1379" t="s">
        <v>8</v>
      </c>
      <c r="W11" s="1380" t="e">
        <f t="shared" si="2"/>
        <v>#N/A</v>
      </c>
      <c r="X11" s="1381"/>
      <c r="Y11" s="400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4069"/>
      <c r="Q12" s="1048">
        <f t="shared" si="6"/>
        <v>111</v>
      </c>
      <c r="R12" s="1379" t="s">
        <v>8</v>
      </c>
      <c r="S12" s="1380">
        <f t="shared" si="0"/>
        <v>100</v>
      </c>
      <c r="T12" s="1379" t="s">
        <v>8</v>
      </c>
      <c r="U12" s="1380">
        <f t="shared" si="1"/>
        <v>100</v>
      </c>
      <c r="V12" s="1379" t="s">
        <v>8</v>
      </c>
      <c r="W12" s="1380">
        <f t="shared" si="2"/>
        <v>100</v>
      </c>
      <c r="X12" s="1381"/>
      <c r="Y12" s="4009"/>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4069"/>
      <c r="Q13" s="1048">
        <f t="shared" si="6"/>
        <v>111</v>
      </c>
      <c r="R13" s="1379" t="s">
        <v>8</v>
      </c>
      <c r="S13" s="1380">
        <f t="shared" si="0"/>
        <v>100</v>
      </c>
      <c r="T13" s="1379" t="s">
        <v>8</v>
      </c>
      <c r="U13" s="1380">
        <f t="shared" si="1"/>
        <v>100</v>
      </c>
      <c r="V13" s="1379" t="s">
        <v>8</v>
      </c>
      <c r="W13" s="1380">
        <f t="shared" si="2"/>
        <v>100</v>
      </c>
      <c r="X13" s="1381"/>
      <c r="Y13" s="4009"/>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4069"/>
      <c r="Q14" s="1048">
        <f t="shared" si="6"/>
        <v>111</v>
      </c>
      <c r="R14" s="1379" t="s">
        <v>8</v>
      </c>
      <c r="S14" s="1380">
        <f t="shared" si="0"/>
        <v>100</v>
      </c>
      <c r="T14" s="1379" t="s">
        <v>8</v>
      </c>
      <c r="U14" s="1380">
        <f t="shared" si="1"/>
        <v>100</v>
      </c>
      <c r="V14" s="1379" t="s">
        <v>8</v>
      </c>
      <c r="W14" s="1380">
        <f t="shared" si="2"/>
        <v>100</v>
      </c>
      <c r="X14" s="1381"/>
      <c r="Y14" s="4009"/>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4071" t="s">
        <v>489</v>
      </c>
      <c r="Q15" s="1383" t="str">
        <f t="shared" si="6"/>
        <v>居住社区成熟度</v>
      </c>
      <c r="R15" s="1384" t="s">
        <v>8</v>
      </c>
      <c r="S15" s="1385">
        <f t="shared" si="0"/>
        <v>100</v>
      </c>
      <c r="T15" s="1384" t="s">
        <v>8</v>
      </c>
      <c r="U15" s="1385">
        <f t="shared" si="1"/>
        <v>100</v>
      </c>
      <c r="V15" s="1384" t="s">
        <v>8</v>
      </c>
      <c r="W15" s="1385">
        <f t="shared" si="2"/>
        <v>100</v>
      </c>
      <c r="X15" s="1378"/>
      <c r="Y15" s="4071"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4072"/>
      <c r="Q16" s="1383"/>
      <c r="R16" s="1384"/>
      <c r="S16" s="1385"/>
      <c r="T16" s="1384"/>
      <c r="U16" s="1385"/>
      <c r="V16" s="1384"/>
      <c r="W16" s="1385"/>
      <c r="X16" s="1378"/>
      <c r="Y16" s="4072"/>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4072"/>
      <c r="Q17" s="1383" t="str">
        <f>B17</f>
        <v>交通便捷度</v>
      </c>
      <c r="R17" s="1384" t="s">
        <v>8</v>
      </c>
      <c r="S17" s="1385">
        <f>F17</f>
        <v>100</v>
      </c>
      <c r="T17" s="1384" t="s">
        <v>8</v>
      </c>
      <c r="U17" s="1385">
        <f>H17</f>
        <v>100</v>
      </c>
      <c r="V17" s="1384" t="s">
        <v>8</v>
      </c>
      <c r="W17" s="1385">
        <f>J17</f>
        <v>100</v>
      </c>
      <c r="X17" s="1378"/>
      <c r="Y17" s="407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4072"/>
      <c r="Q18" s="1383"/>
      <c r="R18" s="1384"/>
      <c r="S18" s="1385"/>
      <c r="T18" s="1384"/>
      <c r="U18" s="1385"/>
      <c r="V18" s="1384"/>
      <c r="W18" s="1385"/>
      <c r="X18" s="1378"/>
      <c r="Y18" s="4072"/>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4072"/>
      <c r="Q19" s="1383" t="str">
        <f>B19</f>
        <v>公共配套设施</v>
      </c>
      <c r="R19" s="1384" t="s">
        <v>8</v>
      </c>
      <c r="S19" s="1385">
        <f>F19</f>
        <v>100</v>
      </c>
      <c r="T19" s="1384" t="s">
        <v>8</v>
      </c>
      <c r="U19" s="1385">
        <f>H19</f>
        <v>100</v>
      </c>
      <c r="V19" s="1384" t="s">
        <v>8</v>
      </c>
      <c r="W19" s="1385">
        <f>J19</f>
        <v>100</v>
      </c>
      <c r="X19" s="1378"/>
      <c r="Y19" s="407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4072"/>
      <c r="Q20" s="1383"/>
      <c r="R20" s="1384"/>
      <c r="S20" s="1385"/>
      <c r="T20" s="1384"/>
      <c r="U20" s="1385"/>
      <c r="V20" s="1384"/>
      <c r="W20" s="1385"/>
      <c r="X20" s="1378"/>
      <c r="Y20" s="4072"/>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4072"/>
      <c r="Q21" s="2191" t="str">
        <f>B21</f>
        <v>基础设施水平</v>
      </c>
      <c r="R21" s="1384" t="s">
        <v>8</v>
      </c>
      <c r="S21" s="1385">
        <f>F21</f>
        <v>100</v>
      </c>
      <c r="T21" s="1384" t="s">
        <v>8</v>
      </c>
      <c r="U21" s="1385">
        <f>H21</f>
        <v>100</v>
      </c>
      <c r="V21" s="1384" t="s">
        <v>8</v>
      </c>
      <c r="W21" s="1385">
        <f>J21</f>
        <v>100</v>
      </c>
      <c r="X21" s="2193"/>
      <c r="Y21" s="407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4072"/>
      <c r="Q22" s="2191"/>
      <c r="R22" s="1384"/>
      <c r="S22" s="1385"/>
      <c r="T22" s="1384"/>
      <c r="U22" s="1385"/>
      <c r="V22" s="1384"/>
      <c r="W22" s="1385"/>
      <c r="X22" s="2193"/>
      <c r="Y22" s="4072"/>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4072"/>
      <c r="Q23" s="1383" t="str">
        <f>B23</f>
        <v>自然及人文环境</v>
      </c>
      <c r="R23" s="1384" t="s">
        <v>8</v>
      </c>
      <c r="S23" s="1385">
        <f>F23</f>
        <v>100</v>
      </c>
      <c r="T23" s="1384" t="s">
        <v>8</v>
      </c>
      <c r="U23" s="1385">
        <f>H23</f>
        <v>100</v>
      </c>
      <c r="V23" s="1384" t="s">
        <v>8</v>
      </c>
      <c r="W23" s="1385">
        <f>J23</f>
        <v>100</v>
      </c>
      <c r="X23" s="1378"/>
      <c r="Y23" s="407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4072"/>
      <c r="Q24" s="1383"/>
      <c r="R24" s="1384"/>
      <c r="S24" s="1385"/>
      <c r="T24" s="1384"/>
      <c r="U24" s="1385"/>
      <c r="V24" s="1384"/>
      <c r="W24" s="1385"/>
      <c r="X24" s="1378"/>
      <c r="Y24" s="4072"/>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4072"/>
      <c r="Q25" s="1383" t="str">
        <f t="shared" ref="Q25:Q46" si="8">B25</f>
        <v>楼层-1</v>
      </c>
      <c r="R25" s="1384" t="s">
        <v>8</v>
      </c>
      <c r="S25" s="1385">
        <f>F25</f>
        <v>100</v>
      </c>
      <c r="T25" s="1384" t="s">
        <v>8</v>
      </c>
      <c r="U25" s="1385">
        <f>H25</f>
        <v>100</v>
      </c>
      <c r="V25" s="1384" t="s">
        <v>8</v>
      </c>
      <c r="W25" s="1385">
        <f>J25</f>
        <v>100</v>
      </c>
      <c r="X25" s="1378"/>
      <c r="Y25" s="4072"/>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4072"/>
      <c r="Q26" s="1383" t="str">
        <f t="shared" si="8"/>
        <v>朝向</v>
      </c>
      <c r="R26" s="1384" t="s">
        <v>8</v>
      </c>
      <c r="S26" s="1385">
        <f>F26</f>
        <v>100</v>
      </c>
      <c r="T26" s="1384" t="s">
        <v>8</v>
      </c>
      <c r="U26" s="1385">
        <f>H26</f>
        <v>100</v>
      </c>
      <c r="V26" s="1384" t="s">
        <v>8</v>
      </c>
      <c r="W26" s="1385">
        <f>J26</f>
        <v>100</v>
      </c>
      <c r="X26" s="1378"/>
      <c r="Y26" s="4072"/>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4072"/>
      <c r="Q27" s="1048" t="str">
        <f t="shared" si="8"/>
        <v>道路级别</v>
      </c>
      <c r="R27" s="1379" t="s">
        <v>8</v>
      </c>
      <c r="S27" s="1380">
        <f>F27</f>
        <v>100</v>
      </c>
      <c r="T27" s="1379" t="s">
        <v>8</v>
      </c>
      <c r="U27" s="1380">
        <f>H27</f>
        <v>100</v>
      </c>
      <c r="V27" s="1379" t="s">
        <v>8</v>
      </c>
      <c r="W27" s="1380">
        <f>J27</f>
        <v>100</v>
      </c>
      <c r="X27" s="1381"/>
      <c r="Y27" s="4072"/>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4072"/>
      <c r="Q28" s="1383">
        <f t="shared" si="8"/>
        <v>111</v>
      </c>
      <c r="R28" s="1384" t="s">
        <v>8</v>
      </c>
      <c r="S28" s="1385">
        <f t="shared" ref="S28:S46" si="9">F28</f>
        <v>100</v>
      </c>
      <c r="T28" s="1384" t="s">
        <v>8</v>
      </c>
      <c r="U28" s="1385">
        <f t="shared" ref="U28:U46" si="10">H28</f>
        <v>100</v>
      </c>
      <c r="V28" s="1384" t="s">
        <v>8</v>
      </c>
      <c r="W28" s="1385">
        <f t="shared" ref="W28:W46" si="11">J28</f>
        <v>100</v>
      </c>
      <c r="X28" s="1378"/>
      <c r="Y28" s="4072"/>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4072"/>
      <c r="Q29" s="1383">
        <f t="shared" si="8"/>
        <v>111</v>
      </c>
      <c r="R29" s="1384" t="s">
        <v>8</v>
      </c>
      <c r="S29" s="1385">
        <f t="shared" si="9"/>
        <v>100</v>
      </c>
      <c r="T29" s="1384" t="s">
        <v>8</v>
      </c>
      <c r="U29" s="1385">
        <f t="shared" si="10"/>
        <v>100</v>
      </c>
      <c r="V29" s="1384" t="s">
        <v>8</v>
      </c>
      <c r="W29" s="1385">
        <f t="shared" si="11"/>
        <v>100</v>
      </c>
      <c r="X29" s="1378"/>
      <c r="Y29" s="407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4072"/>
      <c r="Q30" s="1383">
        <f t="shared" si="8"/>
        <v>111</v>
      </c>
      <c r="R30" s="1384" t="s">
        <v>8</v>
      </c>
      <c r="S30" s="1385">
        <f t="shared" si="9"/>
        <v>100</v>
      </c>
      <c r="T30" s="1384" t="s">
        <v>8</v>
      </c>
      <c r="U30" s="1385">
        <f t="shared" si="10"/>
        <v>100</v>
      </c>
      <c r="V30" s="1384" t="s">
        <v>8</v>
      </c>
      <c r="W30" s="1385">
        <f t="shared" si="11"/>
        <v>100</v>
      </c>
      <c r="X30" s="1378"/>
      <c r="Y30" s="4072"/>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4072"/>
      <c r="Q31" s="1383">
        <f t="shared" si="8"/>
        <v>111</v>
      </c>
      <c r="R31" s="1384" t="s">
        <v>8</v>
      </c>
      <c r="S31" s="1385">
        <f t="shared" si="9"/>
        <v>100</v>
      </c>
      <c r="T31" s="1384" t="s">
        <v>8</v>
      </c>
      <c r="U31" s="1385">
        <f t="shared" si="10"/>
        <v>100</v>
      </c>
      <c r="V31" s="1384" t="s">
        <v>8</v>
      </c>
      <c r="W31" s="1385">
        <f t="shared" si="11"/>
        <v>100</v>
      </c>
      <c r="X31" s="1378"/>
      <c r="Y31" s="4072"/>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4073" t="s">
        <v>499</v>
      </c>
      <c r="Q32" s="1383" t="str">
        <f t="shared" si="8"/>
        <v>建筑类型</v>
      </c>
      <c r="R32" s="1384" t="s">
        <v>8</v>
      </c>
      <c r="S32" s="1385">
        <f t="shared" si="9"/>
        <v>100</v>
      </c>
      <c r="T32" s="1384" t="s">
        <v>8</v>
      </c>
      <c r="U32" s="1385">
        <f t="shared" si="10"/>
        <v>100</v>
      </c>
      <c r="V32" s="1384" t="s">
        <v>8</v>
      </c>
      <c r="W32" s="1385">
        <f t="shared" si="11"/>
        <v>100</v>
      </c>
      <c r="X32" s="1378"/>
      <c r="Y32" s="4074"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4074"/>
      <c r="Q33" s="1412" t="str">
        <f t="shared" si="8"/>
        <v>项目建筑规模</v>
      </c>
      <c r="R33" s="1388" t="s">
        <v>8</v>
      </c>
      <c r="S33" s="1389" t="e">
        <f t="shared" si="9"/>
        <v>#N/A</v>
      </c>
      <c r="T33" s="1388" t="s">
        <v>8</v>
      </c>
      <c r="U33" s="1389" t="e">
        <f t="shared" si="10"/>
        <v>#N/A</v>
      </c>
      <c r="V33" s="1388" t="s">
        <v>8</v>
      </c>
      <c r="W33" s="1389" t="e">
        <f t="shared" si="11"/>
        <v>#N/A</v>
      </c>
      <c r="X33" s="1390"/>
      <c r="Y33" s="407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4074"/>
      <c r="Q34" s="1383" t="str">
        <f t="shared" si="8"/>
        <v>建筑结构</v>
      </c>
      <c r="R34" s="1384" t="s">
        <v>8</v>
      </c>
      <c r="S34" s="1385">
        <f t="shared" si="9"/>
        <v>100</v>
      </c>
      <c r="T34" s="1384" t="s">
        <v>8</v>
      </c>
      <c r="U34" s="1385">
        <f t="shared" si="10"/>
        <v>100</v>
      </c>
      <c r="V34" s="1384" t="s">
        <v>8</v>
      </c>
      <c r="W34" s="1385">
        <f t="shared" si="11"/>
        <v>100</v>
      </c>
      <c r="X34" s="1378"/>
      <c r="Y34" s="4074"/>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4074"/>
      <c r="Q35" s="1383" t="str">
        <f t="shared" si="8"/>
        <v>建筑品质</v>
      </c>
      <c r="R35" s="1384" t="s">
        <v>8</v>
      </c>
      <c r="S35" s="1385">
        <f t="shared" si="9"/>
        <v>100</v>
      </c>
      <c r="T35" s="1384" t="s">
        <v>8</v>
      </c>
      <c r="U35" s="1385">
        <f t="shared" si="10"/>
        <v>100</v>
      </c>
      <c r="V35" s="1384" t="s">
        <v>8</v>
      </c>
      <c r="W35" s="1385">
        <f t="shared" si="11"/>
        <v>100</v>
      </c>
      <c r="X35" s="1378"/>
      <c r="Y35" s="4074"/>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4074"/>
      <c r="Q36" s="1383" t="str">
        <f t="shared" si="8"/>
        <v>公共部分装修</v>
      </c>
      <c r="R36" s="1384" t="s">
        <v>8</v>
      </c>
      <c r="S36" s="1385">
        <f t="shared" si="9"/>
        <v>100</v>
      </c>
      <c r="T36" s="1384" t="s">
        <v>8</v>
      </c>
      <c r="U36" s="1385">
        <f t="shared" si="10"/>
        <v>100</v>
      </c>
      <c r="V36" s="1384" t="s">
        <v>8</v>
      </c>
      <c r="W36" s="1385">
        <f t="shared" si="11"/>
        <v>100</v>
      </c>
      <c r="X36" s="1378"/>
      <c r="Y36" s="4074"/>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074"/>
      <c r="Q37" s="1048" t="str">
        <f t="shared" si="8"/>
        <v>成新度</v>
      </c>
      <c r="R37" s="1379" t="s">
        <v>8</v>
      </c>
      <c r="S37" s="1380" t="e">
        <f t="shared" si="9"/>
        <v>#N/A</v>
      </c>
      <c r="T37" s="1379" t="s">
        <v>8</v>
      </c>
      <c r="U37" s="1380" t="e">
        <f t="shared" si="10"/>
        <v>#N/A</v>
      </c>
      <c r="V37" s="1379" t="s">
        <v>8</v>
      </c>
      <c r="W37" s="1380" t="e">
        <f t="shared" si="11"/>
        <v>#N/A</v>
      </c>
      <c r="X37" s="1381"/>
      <c r="Y37" s="4074"/>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4074" t="s">
        <v>499</v>
      </c>
      <c r="Q38" s="1383" t="str">
        <f t="shared" si="8"/>
        <v>物业管理</v>
      </c>
      <c r="R38" s="1384" t="s">
        <v>8</v>
      </c>
      <c r="S38" s="1385">
        <f t="shared" si="9"/>
        <v>100</v>
      </c>
      <c r="T38" s="1384" t="s">
        <v>8</v>
      </c>
      <c r="U38" s="1385">
        <f t="shared" si="10"/>
        <v>100</v>
      </c>
      <c r="V38" s="1384" t="s">
        <v>8</v>
      </c>
      <c r="W38" s="1385">
        <f t="shared" si="11"/>
        <v>100</v>
      </c>
      <c r="X38" s="1378"/>
      <c r="Y38" s="4074"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4074"/>
      <c r="Q39" s="1383" t="str">
        <f t="shared" si="8"/>
        <v>市政基础设施</v>
      </c>
      <c r="R39" s="1384" t="s">
        <v>8</v>
      </c>
      <c r="S39" s="1385">
        <f t="shared" si="9"/>
        <v>100</v>
      </c>
      <c r="T39" s="1384" t="s">
        <v>8</v>
      </c>
      <c r="U39" s="1385">
        <f t="shared" si="10"/>
        <v>100</v>
      </c>
      <c r="V39" s="1384" t="s">
        <v>8</v>
      </c>
      <c r="W39" s="1385">
        <f t="shared" si="11"/>
        <v>100</v>
      </c>
      <c r="X39" s="1378"/>
      <c r="Y39" s="4074"/>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4074"/>
      <c r="Q40" s="1383" t="str">
        <f t="shared" si="8"/>
        <v>房型</v>
      </c>
      <c r="R40" s="1384" t="s">
        <v>8</v>
      </c>
      <c r="S40" s="1385">
        <f t="shared" si="9"/>
        <v>100</v>
      </c>
      <c r="T40" s="1384" t="s">
        <v>8</v>
      </c>
      <c r="U40" s="1385">
        <f t="shared" si="10"/>
        <v>100</v>
      </c>
      <c r="V40" s="1384" t="s">
        <v>8</v>
      </c>
      <c r="W40" s="1385">
        <f t="shared" si="11"/>
        <v>100</v>
      </c>
      <c r="X40" s="1378"/>
      <c r="Y40" s="4074"/>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4074"/>
      <c r="Q41" s="1412" t="str">
        <f t="shared" si="8"/>
        <v>单套/主力户型建筑面积</v>
      </c>
      <c r="R41" s="1388" t="s">
        <v>8</v>
      </c>
      <c r="S41" s="1389">
        <f t="shared" si="9"/>
        <v>100</v>
      </c>
      <c r="T41" s="1388" t="s">
        <v>8</v>
      </c>
      <c r="U41" s="1389">
        <f t="shared" si="10"/>
        <v>100</v>
      </c>
      <c r="V41" s="1388" t="s">
        <v>8</v>
      </c>
      <c r="W41" s="1389">
        <f t="shared" si="11"/>
        <v>100</v>
      </c>
      <c r="X41" s="1390"/>
      <c r="Y41" s="4074"/>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4074"/>
      <c r="Q42" s="1383" t="str">
        <f t="shared" si="8"/>
        <v>内部装修</v>
      </c>
      <c r="R42" s="1384" t="s">
        <v>8</v>
      </c>
      <c r="S42" s="1385">
        <f t="shared" si="9"/>
        <v>100</v>
      </c>
      <c r="T42" s="1384" t="s">
        <v>8</v>
      </c>
      <c r="U42" s="1385">
        <f t="shared" si="10"/>
        <v>100</v>
      </c>
      <c r="V42" s="1384" t="s">
        <v>8</v>
      </c>
      <c r="W42" s="1385">
        <f t="shared" si="11"/>
        <v>100</v>
      </c>
      <c r="X42" s="1378"/>
      <c r="Y42" s="4074"/>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4074"/>
      <c r="Q43" s="1383" t="str">
        <f t="shared" si="8"/>
        <v>内部装修维护情况</v>
      </c>
      <c r="R43" s="1384" t="s">
        <v>8</v>
      </c>
      <c r="S43" s="1385">
        <f t="shared" si="9"/>
        <v>100</v>
      </c>
      <c r="T43" s="1384" t="s">
        <v>8</v>
      </c>
      <c r="U43" s="1385">
        <f t="shared" si="10"/>
        <v>100</v>
      </c>
      <c r="V43" s="1384" t="s">
        <v>8</v>
      </c>
      <c r="W43" s="1385">
        <f t="shared" si="11"/>
        <v>100</v>
      </c>
      <c r="X43" s="1378"/>
      <c r="Y43" s="4074"/>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074"/>
      <c r="Q44" s="1048">
        <f t="shared" si="8"/>
        <v>111</v>
      </c>
      <c r="R44" s="1379" t="s">
        <v>8</v>
      </c>
      <c r="S44" s="1380">
        <f t="shared" si="9"/>
        <v>100</v>
      </c>
      <c r="T44" s="1379" t="s">
        <v>8</v>
      </c>
      <c r="U44" s="1380">
        <f t="shared" si="10"/>
        <v>100</v>
      </c>
      <c r="V44" s="1379" t="s">
        <v>8</v>
      </c>
      <c r="W44" s="1380">
        <f t="shared" si="11"/>
        <v>100</v>
      </c>
      <c r="X44" s="1381"/>
      <c r="Y44" s="407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4074"/>
      <c r="Q45" s="1383">
        <f t="shared" si="8"/>
        <v>111</v>
      </c>
      <c r="R45" s="1384" t="s">
        <v>8</v>
      </c>
      <c r="S45" s="1385">
        <f t="shared" si="9"/>
        <v>100</v>
      </c>
      <c r="T45" s="1384" t="s">
        <v>8</v>
      </c>
      <c r="U45" s="1385">
        <f t="shared" si="10"/>
        <v>100</v>
      </c>
      <c r="V45" s="1384" t="s">
        <v>8</v>
      </c>
      <c r="W45" s="1385">
        <f t="shared" si="11"/>
        <v>100</v>
      </c>
      <c r="X45" s="1378"/>
      <c r="Y45" s="4074"/>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189"/>
      <c r="Q46" s="1383">
        <f t="shared" si="8"/>
        <v>111</v>
      </c>
      <c r="R46" s="1384" t="s">
        <v>7</v>
      </c>
      <c r="S46" s="1385">
        <f t="shared" si="9"/>
        <v>100</v>
      </c>
      <c r="T46" s="1384" t="s">
        <v>7</v>
      </c>
      <c r="U46" s="1385">
        <f t="shared" si="10"/>
        <v>100</v>
      </c>
      <c r="V46" s="1384" t="s">
        <v>7</v>
      </c>
      <c r="W46" s="1385">
        <f t="shared" si="11"/>
        <v>100</v>
      </c>
      <c r="X46" s="1378"/>
      <c r="Y46" s="4189"/>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4069" t="str">
        <f>A47</f>
        <v>成交单价（元/平方米）</v>
      </c>
      <c r="Q47" s="4069"/>
      <c r="R47" s="4188">
        <f>E47</f>
        <v>0</v>
      </c>
      <c r="S47" s="4188"/>
      <c r="T47" s="4188">
        <f>G47</f>
        <v>0</v>
      </c>
      <c r="U47" s="4188"/>
      <c r="V47" s="4188">
        <f>I47</f>
        <v>0</v>
      </c>
      <c r="W47" s="4188"/>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4069" t="str">
        <f>A48</f>
        <v>比较价格（元/平方米）</v>
      </c>
      <c r="Q48" s="4069"/>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4075" t="str">
        <f>A49</f>
        <v>估价对象XX用房的比较价格（楼面单价，元/平方米）</v>
      </c>
      <c r="Q49" s="4076"/>
      <c r="R49" s="4187" t="e">
        <f>IF(F1="售价",ROUND(IF(D48="简单平均",AVERAGE(R48:V48),R48*F48+T48*H48+V48*J48),0),ROUND(IF(D48="简单平均",AVERAGE(R48:V48),R48*F48+T48*H48+V48*J48),1))</f>
        <v>#DIV/0!</v>
      </c>
      <c r="S49" s="4187"/>
      <c r="T49" s="4187"/>
      <c r="U49" s="4187"/>
      <c r="V49" s="4187"/>
      <c r="W49" s="4187"/>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4077" t="s">
        <v>471</v>
      </c>
      <c r="D4" s="4078"/>
      <c r="E4" s="4099" t="s">
        <v>472</v>
      </c>
      <c r="F4" s="4100"/>
      <c r="G4" s="4077" t="s">
        <v>473</v>
      </c>
      <c r="H4" s="4078"/>
      <c r="I4" s="4077" t="s">
        <v>474</v>
      </c>
      <c r="J4" s="4078"/>
      <c r="K4" s="482" t="s">
        <v>475</v>
      </c>
      <c r="L4" s="1854"/>
      <c r="M4" s="1855"/>
      <c r="N4" s="1855"/>
      <c r="O4" s="1855"/>
      <c r="P4" s="4079" t="s">
        <v>476</v>
      </c>
      <c r="Q4" s="4080"/>
      <c r="R4" s="4063" t="s">
        <v>472</v>
      </c>
      <c r="S4" s="4064"/>
      <c r="T4" s="4063" t="s">
        <v>473</v>
      </c>
      <c r="U4" s="4064"/>
      <c r="V4" s="4085" t="s">
        <v>474</v>
      </c>
      <c r="W4" s="4085"/>
      <c r="X4" s="1378"/>
      <c r="Y4" s="4063" t="s">
        <v>476</v>
      </c>
      <c r="Z4" s="4064"/>
      <c r="AA4" s="4058" t="s">
        <v>472</v>
      </c>
      <c r="AB4" s="4085" t="s">
        <v>473</v>
      </c>
      <c r="AC4" s="4058" t="s">
        <v>474</v>
      </c>
    </row>
    <row r="5" spans="1:29" ht="15">
      <c r="A5" s="483"/>
      <c r="B5" s="484"/>
      <c r="C5" s="4088" t="s">
        <v>2190</v>
      </c>
      <c r="D5" s="4089"/>
      <c r="E5" s="4101" t="s">
        <v>2191</v>
      </c>
      <c r="F5" s="4102"/>
      <c r="G5" s="4088" t="s">
        <v>2192</v>
      </c>
      <c r="H5" s="4089"/>
      <c r="I5" s="4088" t="s">
        <v>2193</v>
      </c>
      <c r="J5" s="4089"/>
      <c r="K5" s="482"/>
      <c r="L5" s="1854"/>
      <c r="M5" s="1855"/>
      <c r="N5" s="1855"/>
      <c r="O5" s="1855"/>
      <c r="P5" s="4081"/>
      <c r="Q5" s="4082"/>
      <c r="R5" s="4065"/>
      <c r="S5" s="4066"/>
      <c r="T5" s="4065"/>
      <c r="U5" s="4066"/>
      <c r="V5" s="4085"/>
      <c r="W5" s="4085"/>
      <c r="X5" s="1378"/>
      <c r="Y5" s="4065"/>
      <c r="Z5" s="4066"/>
      <c r="AA5" s="4059"/>
      <c r="AB5" s="4085"/>
      <c r="AC5" s="4059"/>
    </row>
    <row r="6" spans="1:29" ht="15.75" thickBot="1">
      <c r="A6" s="485"/>
      <c r="B6" s="486"/>
      <c r="C6" s="4086" t="s">
        <v>2194</v>
      </c>
      <c r="D6" s="4087"/>
      <c r="E6" s="4186" t="s">
        <v>2194</v>
      </c>
      <c r="F6" s="4104"/>
      <c r="G6" s="4086" t="s">
        <v>2194</v>
      </c>
      <c r="H6" s="4087"/>
      <c r="I6" s="4086" t="s">
        <v>2194</v>
      </c>
      <c r="J6" s="4087"/>
      <c r="K6" s="482" t="s">
        <v>477</v>
      </c>
      <c r="L6" s="1854"/>
      <c r="M6" s="1855"/>
      <c r="N6" s="1855"/>
      <c r="O6" s="1855"/>
      <c r="P6" s="4083"/>
      <c r="Q6" s="4084"/>
      <c r="R6" s="4065"/>
      <c r="S6" s="4066"/>
      <c r="T6" s="4067"/>
      <c r="U6" s="4068"/>
      <c r="V6" s="4085"/>
      <c r="W6" s="4085"/>
      <c r="X6" s="1378"/>
      <c r="Y6" s="4067"/>
      <c r="Z6" s="4068"/>
      <c r="AA6" s="4060"/>
      <c r="AB6" s="4085"/>
      <c r="AC6" s="4060"/>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4061" t="s">
        <v>479</v>
      </c>
      <c r="Q7" s="4070"/>
      <c r="R7" s="1379" t="s">
        <v>5</v>
      </c>
      <c r="S7" s="1380">
        <f t="shared" ref="S7:S15" si="0">F7</f>
        <v>0</v>
      </c>
      <c r="T7" s="1379" t="s">
        <v>5</v>
      </c>
      <c r="U7" s="1380">
        <f t="shared" ref="U7:U15" si="1">H7</f>
        <v>0</v>
      </c>
      <c r="V7" s="1379" t="s">
        <v>5</v>
      </c>
      <c r="W7" s="1380">
        <f t="shared" ref="W7:W15"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4061" t="s">
        <v>482</v>
      </c>
      <c r="Q8" s="4062"/>
      <c r="R8" s="1379" t="s">
        <v>5</v>
      </c>
      <c r="S8" s="1380">
        <f t="shared" si="0"/>
        <v>0</v>
      </c>
      <c r="T8" s="1379" t="s">
        <v>5</v>
      </c>
      <c r="U8" s="1380">
        <f t="shared" si="1"/>
        <v>0</v>
      </c>
      <c r="V8" s="1379" t="s">
        <v>5</v>
      </c>
      <c r="W8" s="1380">
        <f t="shared" si="2"/>
        <v>0</v>
      </c>
      <c r="X8" s="1381"/>
      <c r="Y8" s="4061" t="s">
        <v>482</v>
      </c>
      <c r="Z8" s="40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4069" t="s">
        <v>484</v>
      </c>
      <c r="Q9" s="1048" t="str">
        <f t="shared" ref="Q9:Q15" si="6">B9</f>
        <v>用途</v>
      </c>
      <c r="R9" s="1379" t="s">
        <v>5</v>
      </c>
      <c r="S9" s="1380">
        <f t="shared" si="0"/>
        <v>100</v>
      </c>
      <c r="T9" s="1379" t="s">
        <v>5</v>
      </c>
      <c r="U9" s="1380">
        <f t="shared" si="1"/>
        <v>100</v>
      </c>
      <c r="V9" s="1379" t="s">
        <v>5</v>
      </c>
      <c r="W9" s="1380">
        <f t="shared" si="2"/>
        <v>100</v>
      </c>
      <c r="X9" s="1381"/>
      <c r="Y9" s="400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4069"/>
      <c r="Q11" s="1048" t="str">
        <f t="shared" si="6"/>
        <v>容积率</v>
      </c>
      <c r="R11" s="1379" t="s">
        <v>5</v>
      </c>
      <c r="S11" s="1380" t="e">
        <f t="shared" si="0"/>
        <v>#N/A</v>
      </c>
      <c r="T11" s="1379" t="s">
        <v>5</v>
      </c>
      <c r="U11" s="1380" t="e">
        <f t="shared" si="1"/>
        <v>#N/A</v>
      </c>
      <c r="V11" s="1379" t="s">
        <v>5</v>
      </c>
      <c r="W11" s="1380" t="e">
        <f t="shared" si="2"/>
        <v>#N/A</v>
      </c>
      <c r="X11" s="1381"/>
      <c r="Y11" s="400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4069"/>
      <c r="Q12" s="1048">
        <f t="shared" si="6"/>
        <v>111</v>
      </c>
      <c r="R12" s="1379" t="s">
        <v>5</v>
      </c>
      <c r="S12" s="1380">
        <f t="shared" si="0"/>
        <v>100</v>
      </c>
      <c r="T12" s="1379" t="s">
        <v>5</v>
      </c>
      <c r="U12" s="1380">
        <f t="shared" si="1"/>
        <v>100</v>
      </c>
      <c r="V12" s="1379" t="s">
        <v>5</v>
      </c>
      <c r="W12" s="1380">
        <f t="shared" si="2"/>
        <v>100</v>
      </c>
      <c r="X12" s="1381"/>
      <c r="Y12" s="4009"/>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4069"/>
      <c r="Q13" s="1048">
        <f t="shared" si="6"/>
        <v>111</v>
      </c>
      <c r="R13" s="1379" t="s">
        <v>5</v>
      </c>
      <c r="S13" s="1380">
        <f t="shared" si="0"/>
        <v>100</v>
      </c>
      <c r="T13" s="1379" t="s">
        <v>5</v>
      </c>
      <c r="U13" s="1380">
        <f t="shared" si="1"/>
        <v>100</v>
      </c>
      <c r="V13" s="1379" t="s">
        <v>5</v>
      </c>
      <c r="W13" s="1380">
        <f t="shared" si="2"/>
        <v>100</v>
      </c>
      <c r="X13" s="1381"/>
      <c r="Y13" s="4009"/>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4069"/>
      <c r="Q14" s="1048">
        <f t="shared" si="6"/>
        <v>111</v>
      </c>
      <c r="R14" s="1379" t="s">
        <v>5</v>
      </c>
      <c r="S14" s="1380">
        <f t="shared" si="0"/>
        <v>100</v>
      </c>
      <c r="T14" s="1379" t="s">
        <v>5</v>
      </c>
      <c r="U14" s="1380">
        <f t="shared" si="1"/>
        <v>100</v>
      </c>
      <c r="V14" s="1379" t="s">
        <v>5</v>
      </c>
      <c r="W14" s="1380">
        <f t="shared" si="2"/>
        <v>100</v>
      </c>
      <c r="X14" s="1381"/>
      <c r="Y14" s="4009"/>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4071" t="s">
        <v>489</v>
      </c>
      <c r="Q15" s="1383" t="str">
        <f t="shared" si="6"/>
        <v>商业繁华度</v>
      </c>
      <c r="R15" s="1384" t="s">
        <v>5</v>
      </c>
      <c r="S15" s="1385">
        <f t="shared" si="0"/>
        <v>100</v>
      </c>
      <c r="T15" s="1384" t="s">
        <v>5</v>
      </c>
      <c r="U15" s="1385">
        <f t="shared" si="1"/>
        <v>100</v>
      </c>
      <c r="V15" s="1384" t="s">
        <v>5</v>
      </c>
      <c r="W15" s="1385">
        <f t="shared" si="2"/>
        <v>100</v>
      </c>
      <c r="X15" s="1378"/>
      <c r="Y15" s="4071"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72"/>
      <c r="Q16" s="1383"/>
      <c r="R16" s="1384"/>
      <c r="S16" s="1385"/>
      <c r="T16" s="1384"/>
      <c r="U16" s="1385"/>
      <c r="V16" s="1384"/>
      <c r="W16" s="1385"/>
      <c r="X16" s="1378"/>
      <c r="Y16" s="4072"/>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4072"/>
      <c r="Q17" s="1383" t="str">
        <f>B17</f>
        <v>交通便捷度</v>
      </c>
      <c r="R17" s="1384" t="s">
        <v>5</v>
      </c>
      <c r="S17" s="1385">
        <f>F17</f>
        <v>100</v>
      </c>
      <c r="T17" s="1384" t="s">
        <v>5</v>
      </c>
      <c r="U17" s="1385">
        <f>H17</f>
        <v>100</v>
      </c>
      <c r="V17" s="1384" t="s">
        <v>5</v>
      </c>
      <c r="W17" s="1385">
        <f>J17</f>
        <v>100</v>
      </c>
      <c r="X17" s="1378"/>
      <c r="Y17" s="407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72"/>
      <c r="Q18" s="1383"/>
      <c r="R18" s="1384"/>
      <c r="S18" s="1385"/>
      <c r="T18" s="1384"/>
      <c r="U18" s="1385"/>
      <c r="V18" s="1384"/>
      <c r="W18" s="1385"/>
      <c r="X18" s="1378"/>
      <c r="Y18" s="4072"/>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4072"/>
      <c r="Q19" s="1383" t="str">
        <f>B19</f>
        <v>公共配套设施</v>
      </c>
      <c r="R19" s="1384" t="s">
        <v>5</v>
      </c>
      <c r="S19" s="1385">
        <f>F19</f>
        <v>100</v>
      </c>
      <c r="T19" s="1384" t="s">
        <v>5</v>
      </c>
      <c r="U19" s="1385">
        <f>H19</f>
        <v>100</v>
      </c>
      <c r="V19" s="1384" t="s">
        <v>5</v>
      </c>
      <c r="W19" s="1385">
        <f>J19</f>
        <v>100</v>
      </c>
      <c r="X19" s="1378"/>
      <c r="Y19" s="407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4072"/>
      <c r="Q20" s="1383"/>
      <c r="R20" s="1384"/>
      <c r="S20" s="1385"/>
      <c r="T20" s="1384"/>
      <c r="U20" s="1385"/>
      <c r="V20" s="1384"/>
      <c r="W20" s="1385"/>
      <c r="X20" s="1378"/>
      <c r="Y20" s="4072"/>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4072"/>
      <c r="Q21" s="2191" t="str">
        <f>B21</f>
        <v>基础设施水平</v>
      </c>
      <c r="R21" s="1384" t="s">
        <v>5</v>
      </c>
      <c r="S21" s="1385">
        <f>F21</f>
        <v>100</v>
      </c>
      <c r="T21" s="1384" t="s">
        <v>5</v>
      </c>
      <c r="U21" s="1385">
        <f>H21</f>
        <v>100</v>
      </c>
      <c r="V21" s="1384" t="s">
        <v>5</v>
      </c>
      <c r="W21" s="1385">
        <f>J21</f>
        <v>100</v>
      </c>
      <c r="X21" s="2193"/>
      <c r="Y21" s="407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4072"/>
      <c r="Q22" s="2191"/>
      <c r="R22" s="1384"/>
      <c r="S22" s="1385"/>
      <c r="T22" s="1384"/>
      <c r="U22" s="1385"/>
      <c r="V22" s="1384"/>
      <c r="W22" s="1385"/>
      <c r="X22" s="2193"/>
      <c r="Y22" s="4072"/>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4072"/>
      <c r="Q23" s="1383" t="str">
        <f>B23</f>
        <v>自然及人文环境</v>
      </c>
      <c r="R23" s="1384" t="s">
        <v>5</v>
      </c>
      <c r="S23" s="1385">
        <f>F23</f>
        <v>100</v>
      </c>
      <c r="T23" s="1384" t="s">
        <v>5</v>
      </c>
      <c r="U23" s="1385">
        <f>H23</f>
        <v>100</v>
      </c>
      <c r="V23" s="1384" t="s">
        <v>5</v>
      </c>
      <c r="W23" s="1385">
        <f>J23</f>
        <v>100</v>
      </c>
      <c r="X23" s="1378"/>
      <c r="Y23" s="407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4072"/>
      <c r="Q24" s="1383"/>
      <c r="R24" s="1384"/>
      <c r="S24" s="1385"/>
      <c r="T24" s="1384"/>
      <c r="U24" s="1385"/>
      <c r="V24" s="1384"/>
      <c r="W24" s="1385"/>
      <c r="X24" s="1378"/>
      <c r="Y24" s="4072"/>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4072"/>
      <c r="Q25" s="1383" t="str">
        <f t="shared" ref="Q25:Q46" si="8">B25</f>
        <v>临街状况</v>
      </c>
      <c r="R25" s="1384" t="s">
        <v>5</v>
      </c>
      <c r="S25" s="1385">
        <f>F25</f>
        <v>100</v>
      </c>
      <c r="T25" s="1384" t="s">
        <v>5</v>
      </c>
      <c r="U25" s="1385">
        <f>H25</f>
        <v>100</v>
      </c>
      <c r="V25" s="1384" t="s">
        <v>5</v>
      </c>
      <c r="W25" s="1385">
        <f>J25</f>
        <v>100</v>
      </c>
      <c r="X25" s="1378"/>
      <c r="Y25" s="4072"/>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4072"/>
      <c r="Q26" s="1383" t="str">
        <f t="shared" si="8"/>
        <v>平面位置/可视性</v>
      </c>
      <c r="R26" s="1384" t="s">
        <v>5</v>
      </c>
      <c r="S26" s="1385">
        <f>F26</f>
        <v>100</v>
      </c>
      <c r="T26" s="1384" t="s">
        <v>5</v>
      </c>
      <c r="U26" s="1385">
        <f>H26</f>
        <v>100</v>
      </c>
      <c r="V26" s="1384" t="s">
        <v>5</v>
      </c>
      <c r="W26" s="1385">
        <f>J26</f>
        <v>100</v>
      </c>
      <c r="X26" s="1378"/>
      <c r="Y26" s="4072"/>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4072"/>
      <c r="Q27" s="1048" t="str">
        <f t="shared" si="8"/>
        <v>人流量</v>
      </c>
      <c r="R27" s="1379" t="s">
        <v>5</v>
      </c>
      <c r="S27" s="1380">
        <f>F27</f>
        <v>100</v>
      </c>
      <c r="T27" s="1379" t="s">
        <v>5</v>
      </c>
      <c r="U27" s="1380">
        <f>H27</f>
        <v>100</v>
      </c>
      <c r="V27" s="1379" t="s">
        <v>5</v>
      </c>
      <c r="W27" s="1380">
        <f>J27</f>
        <v>100</v>
      </c>
      <c r="X27" s="1381"/>
      <c r="Y27" s="4072"/>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4072"/>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072"/>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4072"/>
      <c r="Q29" s="1383">
        <f t="shared" si="8"/>
        <v>111</v>
      </c>
      <c r="R29" s="1384" t="s">
        <v>5</v>
      </c>
      <c r="S29" s="1385">
        <f t="shared" si="9"/>
        <v>100</v>
      </c>
      <c r="T29" s="1384" t="s">
        <v>5</v>
      </c>
      <c r="U29" s="1385">
        <f t="shared" si="10"/>
        <v>100</v>
      </c>
      <c r="V29" s="1384" t="s">
        <v>5</v>
      </c>
      <c r="W29" s="1385">
        <f t="shared" si="11"/>
        <v>100</v>
      </c>
      <c r="X29" s="1378"/>
      <c r="Y29" s="407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4072"/>
      <c r="Q30" s="1383">
        <f t="shared" si="8"/>
        <v>111</v>
      </c>
      <c r="R30" s="1384" t="s">
        <v>5</v>
      </c>
      <c r="S30" s="1385">
        <f t="shared" si="9"/>
        <v>100</v>
      </c>
      <c r="T30" s="1384" t="s">
        <v>5</v>
      </c>
      <c r="U30" s="1385">
        <f t="shared" si="10"/>
        <v>100</v>
      </c>
      <c r="V30" s="1384" t="s">
        <v>5</v>
      </c>
      <c r="W30" s="1385">
        <f t="shared" si="11"/>
        <v>100</v>
      </c>
      <c r="X30" s="1378"/>
      <c r="Y30" s="4072"/>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4072"/>
      <c r="Q31" s="1383">
        <f t="shared" si="8"/>
        <v>111</v>
      </c>
      <c r="R31" s="1384" t="s">
        <v>5</v>
      </c>
      <c r="S31" s="1385">
        <f t="shared" si="9"/>
        <v>100</v>
      </c>
      <c r="T31" s="1384" t="s">
        <v>5</v>
      </c>
      <c r="U31" s="1385">
        <f t="shared" si="10"/>
        <v>100</v>
      </c>
      <c r="V31" s="1384" t="s">
        <v>5</v>
      </c>
      <c r="W31" s="1385">
        <f t="shared" si="11"/>
        <v>100</v>
      </c>
      <c r="X31" s="1378"/>
      <c r="Y31" s="4072"/>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4073" t="s">
        <v>499</v>
      </c>
      <c r="Q32" s="1383" t="str">
        <f t="shared" si="8"/>
        <v>商业类型</v>
      </c>
      <c r="R32" s="1384" t="s">
        <v>5</v>
      </c>
      <c r="S32" s="1385">
        <f t="shared" si="9"/>
        <v>100</v>
      </c>
      <c r="T32" s="1384" t="s">
        <v>5</v>
      </c>
      <c r="U32" s="1385">
        <f t="shared" si="10"/>
        <v>100</v>
      </c>
      <c r="V32" s="1384" t="s">
        <v>5</v>
      </c>
      <c r="W32" s="1385">
        <f t="shared" si="11"/>
        <v>100</v>
      </c>
      <c r="X32" s="1378"/>
      <c r="Y32" s="4074"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4074"/>
      <c r="Q33" s="1412" t="str">
        <f t="shared" si="8"/>
        <v>项目建筑规模</v>
      </c>
      <c r="R33" s="1388" t="s">
        <v>5</v>
      </c>
      <c r="S33" s="1389" t="e">
        <f t="shared" si="9"/>
        <v>#N/A</v>
      </c>
      <c r="T33" s="1388" t="s">
        <v>5</v>
      </c>
      <c r="U33" s="1389" t="e">
        <f t="shared" si="10"/>
        <v>#N/A</v>
      </c>
      <c r="V33" s="1388" t="s">
        <v>5</v>
      </c>
      <c r="W33" s="1389" t="e">
        <f t="shared" si="11"/>
        <v>#N/A</v>
      </c>
      <c r="X33" s="1390"/>
      <c r="Y33" s="407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4074"/>
      <c r="Q34" s="1383" t="str">
        <f t="shared" si="8"/>
        <v>建筑结构</v>
      </c>
      <c r="R34" s="1384" t="s">
        <v>5</v>
      </c>
      <c r="S34" s="1385">
        <f t="shared" si="9"/>
        <v>100</v>
      </c>
      <c r="T34" s="1384" t="s">
        <v>5</v>
      </c>
      <c r="U34" s="1385">
        <f t="shared" si="10"/>
        <v>100</v>
      </c>
      <c r="V34" s="1384" t="s">
        <v>5</v>
      </c>
      <c r="W34" s="1385">
        <f t="shared" si="11"/>
        <v>100</v>
      </c>
      <c r="X34" s="1378"/>
      <c r="Y34" s="4074"/>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4074"/>
      <c r="Q35" s="1383" t="str">
        <f t="shared" si="8"/>
        <v>公共部分装修</v>
      </c>
      <c r="R35" s="1384" t="s">
        <v>5</v>
      </c>
      <c r="S35" s="1385">
        <f t="shared" si="9"/>
        <v>100</v>
      </c>
      <c r="T35" s="1384" t="s">
        <v>5</v>
      </c>
      <c r="U35" s="1385">
        <f t="shared" si="10"/>
        <v>100</v>
      </c>
      <c r="V35" s="1384" t="s">
        <v>5</v>
      </c>
      <c r="W35" s="1385">
        <f t="shared" si="11"/>
        <v>100</v>
      </c>
      <c r="X35" s="1378"/>
      <c r="Y35" s="4074"/>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4074"/>
      <c r="Q36" s="1383" t="str">
        <f t="shared" si="8"/>
        <v>成新度</v>
      </c>
      <c r="R36" s="1384" t="s">
        <v>5</v>
      </c>
      <c r="S36" s="1385" t="e">
        <f t="shared" si="9"/>
        <v>#N/A</v>
      </c>
      <c r="T36" s="1384" t="s">
        <v>5</v>
      </c>
      <c r="U36" s="1385" t="e">
        <f t="shared" si="10"/>
        <v>#N/A</v>
      </c>
      <c r="V36" s="1384" t="s">
        <v>5</v>
      </c>
      <c r="W36" s="1385" t="e">
        <f t="shared" si="11"/>
        <v>#N/A</v>
      </c>
      <c r="X36" s="1378"/>
      <c r="Y36" s="4074"/>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4074"/>
      <c r="Q37" s="1048" t="str">
        <f t="shared" si="8"/>
        <v>市政基础设施</v>
      </c>
      <c r="R37" s="1379" t="s">
        <v>5</v>
      </c>
      <c r="S37" s="1380">
        <f t="shared" si="9"/>
        <v>100</v>
      </c>
      <c r="T37" s="1379" t="s">
        <v>5</v>
      </c>
      <c r="U37" s="1380">
        <f t="shared" si="10"/>
        <v>100</v>
      </c>
      <c r="V37" s="1379" t="s">
        <v>5</v>
      </c>
      <c r="W37" s="1380">
        <f t="shared" si="11"/>
        <v>100</v>
      </c>
      <c r="X37" s="1381"/>
      <c r="Y37" s="4074"/>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4074" t="s">
        <v>706</v>
      </c>
      <c r="Q38" s="1383" t="str">
        <f t="shared" si="8"/>
        <v>业态</v>
      </c>
      <c r="R38" s="1384" t="s">
        <v>5</v>
      </c>
      <c r="S38" s="1385">
        <f t="shared" si="9"/>
        <v>100</v>
      </c>
      <c r="T38" s="1384" t="s">
        <v>5</v>
      </c>
      <c r="U38" s="1385">
        <f t="shared" si="10"/>
        <v>100</v>
      </c>
      <c r="V38" s="1384" t="s">
        <v>5</v>
      </c>
      <c r="W38" s="1385">
        <f t="shared" si="11"/>
        <v>100</v>
      </c>
      <c r="X38" s="1378"/>
      <c r="Y38" s="4074"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4074"/>
      <c r="Q39" s="1383" t="str">
        <f t="shared" si="8"/>
        <v>层高</v>
      </c>
      <c r="R39" s="1384" t="s">
        <v>5</v>
      </c>
      <c r="S39" s="1385">
        <f t="shared" si="9"/>
        <v>100</v>
      </c>
      <c r="T39" s="1384" t="s">
        <v>5</v>
      </c>
      <c r="U39" s="1385">
        <f t="shared" si="10"/>
        <v>100</v>
      </c>
      <c r="V39" s="1384" t="s">
        <v>5</v>
      </c>
      <c r="W39" s="1385">
        <f t="shared" si="11"/>
        <v>100</v>
      </c>
      <c r="X39" s="1378"/>
      <c r="Y39" s="4074"/>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4074"/>
      <c r="Q40" s="1383" t="str">
        <f t="shared" si="8"/>
        <v>单套建筑面积</v>
      </c>
      <c r="R40" s="1384" t="s">
        <v>5</v>
      </c>
      <c r="S40" s="1385">
        <f t="shared" si="9"/>
        <v>100</v>
      </c>
      <c r="T40" s="1384" t="s">
        <v>5</v>
      </c>
      <c r="U40" s="1385">
        <f t="shared" si="10"/>
        <v>100</v>
      </c>
      <c r="V40" s="1384" t="s">
        <v>5</v>
      </c>
      <c r="W40" s="1385">
        <f t="shared" si="11"/>
        <v>100</v>
      </c>
      <c r="X40" s="1378"/>
      <c r="Y40" s="4074"/>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4074"/>
      <c r="Q41" s="1412" t="str">
        <f t="shared" si="8"/>
        <v>进深比</v>
      </c>
      <c r="R41" s="1388" t="s">
        <v>5</v>
      </c>
      <c r="S41" s="1389">
        <f t="shared" si="9"/>
        <v>100</v>
      </c>
      <c r="T41" s="1388" t="s">
        <v>5</v>
      </c>
      <c r="U41" s="1389">
        <f t="shared" si="10"/>
        <v>100</v>
      </c>
      <c r="V41" s="1388" t="s">
        <v>5</v>
      </c>
      <c r="W41" s="1389">
        <f t="shared" si="11"/>
        <v>100</v>
      </c>
      <c r="X41" s="1390"/>
      <c r="Y41" s="4074"/>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4074"/>
      <c r="Q42" s="1383" t="str">
        <f t="shared" si="8"/>
        <v>内部装修</v>
      </c>
      <c r="R42" s="1384" t="s">
        <v>5</v>
      </c>
      <c r="S42" s="1385">
        <f t="shared" si="9"/>
        <v>100</v>
      </c>
      <c r="T42" s="1384" t="s">
        <v>5</v>
      </c>
      <c r="U42" s="1385">
        <f t="shared" si="10"/>
        <v>100</v>
      </c>
      <c r="V42" s="1384" t="s">
        <v>5</v>
      </c>
      <c r="W42" s="1385">
        <f t="shared" si="11"/>
        <v>100</v>
      </c>
      <c r="X42" s="1378"/>
      <c r="Y42" s="4074"/>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4074"/>
      <c r="Q43" s="1383" t="str">
        <f t="shared" si="8"/>
        <v>内部装修维护情况</v>
      </c>
      <c r="R43" s="1384" t="s">
        <v>5</v>
      </c>
      <c r="S43" s="1385">
        <f t="shared" si="9"/>
        <v>100</v>
      </c>
      <c r="T43" s="1384" t="s">
        <v>5</v>
      </c>
      <c r="U43" s="1385">
        <f t="shared" si="10"/>
        <v>100</v>
      </c>
      <c r="V43" s="1384" t="s">
        <v>5</v>
      </c>
      <c r="W43" s="1385">
        <f t="shared" si="11"/>
        <v>100</v>
      </c>
      <c r="X43" s="1378"/>
      <c r="Y43" s="4074"/>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4074"/>
      <c r="Q44" s="1048">
        <f t="shared" si="8"/>
        <v>111</v>
      </c>
      <c r="R44" s="1379" t="s">
        <v>5</v>
      </c>
      <c r="S44" s="1380">
        <f t="shared" si="9"/>
        <v>100</v>
      </c>
      <c r="T44" s="1379" t="s">
        <v>5</v>
      </c>
      <c r="U44" s="1380">
        <f t="shared" si="10"/>
        <v>100</v>
      </c>
      <c r="V44" s="1379" t="s">
        <v>5</v>
      </c>
      <c r="W44" s="1380">
        <f t="shared" si="11"/>
        <v>100</v>
      </c>
      <c r="X44" s="1381"/>
      <c r="Y44" s="407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4074"/>
      <c r="Q45" s="1383">
        <f t="shared" si="8"/>
        <v>111</v>
      </c>
      <c r="R45" s="1384" t="s">
        <v>5</v>
      </c>
      <c r="S45" s="1385">
        <f t="shared" si="9"/>
        <v>100</v>
      </c>
      <c r="T45" s="1384" t="s">
        <v>5</v>
      </c>
      <c r="U45" s="1385">
        <f t="shared" si="10"/>
        <v>100</v>
      </c>
      <c r="V45" s="1384" t="s">
        <v>5</v>
      </c>
      <c r="W45" s="1385">
        <f t="shared" si="11"/>
        <v>100</v>
      </c>
      <c r="X45" s="1378"/>
      <c r="Y45" s="4074"/>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189"/>
      <c r="Q46" s="1383">
        <f t="shared" si="8"/>
        <v>111</v>
      </c>
      <c r="R46" s="1384" t="s">
        <v>5</v>
      </c>
      <c r="S46" s="1385">
        <f t="shared" si="9"/>
        <v>100</v>
      </c>
      <c r="T46" s="1384" t="s">
        <v>5</v>
      </c>
      <c r="U46" s="1385">
        <f t="shared" si="10"/>
        <v>100</v>
      </c>
      <c r="V46" s="1384" t="s">
        <v>5</v>
      </c>
      <c r="W46" s="1385">
        <f t="shared" si="11"/>
        <v>100</v>
      </c>
      <c r="X46" s="1378"/>
      <c r="Y46" s="4189"/>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4069" t="str">
        <f>A47</f>
        <v>成交单价（元/平方米）</v>
      </c>
      <c r="Q47" s="4069"/>
      <c r="R47" s="4188">
        <f>E47</f>
        <v>0</v>
      </c>
      <c r="S47" s="4188"/>
      <c r="T47" s="4188">
        <f>G47</f>
        <v>0</v>
      </c>
      <c r="U47" s="4188"/>
      <c r="V47" s="4188">
        <f>I47</f>
        <v>0</v>
      </c>
      <c r="W47" s="4188"/>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4069" t="str">
        <f>A48</f>
        <v>比较价格（元/平方米）</v>
      </c>
      <c r="Q48" s="4069"/>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4075" t="str">
        <f>A49</f>
        <v>估价对象XX用房的比较价格（楼面单价，元/平方米）</v>
      </c>
      <c r="Q49" s="4076"/>
      <c r="R49" s="4187" t="e">
        <f>IF(F1="售价",ROUND(IF(D48="简单平均",AVERAGE(R48:V48),R48*F48+T48*H48+V48*J48),0),ROUND(IF(D48="简单平均",AVERAGE(R48:V48),R48*F48+T48*H48+V48*J48),1))</f>
        <v>#DIV/0!</v>
      </c>
      <c r="S49" s="4187"/>
      <c r="T49" s="4187"/>
      <c r="U49" s="4187"/>
      <c r="V49" s="4187"/>
      <c r="W49" s="4187"/>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76" t="s">
        <v>1556</v>
      </c>
      <c r="B1" s="3876"/>
      <c r="C1" s="3876"/>
      <c r="D1" s="3876"/>
      <c r="E1" s="3876"/>
      <c r="F1" s="3876"/>
      <c r="G1" s="3876"/>
      <c r="H1" s="3876"/>
      <c r="I1" s="3876"/>
      <c r="J1" s="3876"/>
      <c r="K1" s="3876"/>
      <c r="L1" s="3876"/>
      <c r="M1" s="3876"/>
      <c r="N1" s="3876"/>
      <c r="O1" s="3876"/>
      <c r="P1" s="3876"/>
      <c r="Q1" s="3876"/>
      <c r="R1" s="3876"/>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877" t="s">
        <v>1547</v>
      </c>
      <c r="B3" s="3877" t="s">
        <v>2013</v>
      </c>
      <c r="C3" s="3878" t="s">
        <v>1548</v>
      </c>
      <c r="D3" s="3877" t="s">
        <v>2017</v>
      </c>
      <c r="E3" s="3872" t="s">
        <v>1549</v>
      </c>
      <c r="F3" s="3872"/>
      <c r="G3" s="3872"/>
      <c r="H3" s="3872" t="s">
        <v>1550</v>
      </c>
      <c r="I3" s="3872"/>
      <c r="J3" s="3872"/>
      <c r="K3" s="3878" t="s">
        <v>1551</v>
      </c>
      <c r="L3" s="3878" t="s">
        <v>1552</v>
      </c>
      <c r="M3" s="3877" t="s">
        <v>2014</v>
      </c>
      <c r="N3" s="3879" t="str">
        <f>"（分摊）"&amp;项目基本情况!A17&amp;"国有建设用地使用权面积/㎡"</f>
        <v>（分摊）划拨国有建设用地使用权面积/㎡</v>
      </c>
      <c r="O3" s="3877" t="s">
        <v>1581</v>
      </c>
      <c r="P3" s="3878" t="s">
        <v>1561</v>
      </c>
      <c r="Q3" s="3878" t="s">
        <v>1582</v>
      </c>
      <c r="R3" s="3878" t="s">
        <v>1553</v>
      </c>
    </row>
    <row r="4" spans="1:18" ht="36.75" customHeight="1">
      <c r="A4" s="3877"/>
      <c r="B4" s="3877"/>
      <c r="C4" s="3878"/>
      <c r="D4" s="3877"/>
      <c r="E4" s="2252" t="s">
        <v>1560</v>
      </c>
      <c r="F4" s="2252" t="s">
        <v>2026</v>
      </c>
      <c r="G4" s="2252" t="s">
        <v>1554</v>
      </c>
      <c r="H4" s="2252" t="s">
        <v>1555</v>
      </c>
      <c r="I4" s="2252" t="s">
        <v>2027</v>
      </c>
      <c r="J4" s="2252" t="s">
        <v>1554</v>
      </c>
      <c r="K4" s="3878"/>
      <c r="L4" s="3878"/>
      <c r="M4" s="3877"/>
      <c r="N4" s="3879"/>
      <c r="O4" s="3877"/>
      <c r="P4" s="3878"/>
      <c r="Q4" s="3878"/>
      <c r="R4" s="3878"/>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1926</v>
      </c>
      <c r="Q5" s="1596">
        <f ca="1">结果表!D42</f>
        <v>1926</v>
      </c>
      <c r="R5" s="1597">
        <f ca="1">结果表!C42</f>
        <v>4261</v>
      </c>
    </row>
    <row r="6" spans="1:18">
      <c r="A6" s="3873" t="str">
        <f>IF(项目基本情况!B9="市场价格","——","抵押价格")</f>
        <v>——</v>
      </c>
      <c r="B6" s="3874"/>
      <c r="C6" s="3874"/>
      <c r="D6" s="3874"/>
      <c r="E6" s="3874"/>
      <c r="F6" s="3874"/>
      <c r="G6" s="3874"/>
      <c r="H6" s="3874"/>
      <c r="I6" s="3874"/>
      <c r="J6" s="3874"/>
      <c r="K6" s="3874"/>
      <c r="L6" s="3874"/>
      <c r="M6" s="3874"/>
      <c r="N6" s="3874"/>
      <c r="O6" s="3874"/>
      <c r="P6" s="3874"/>
      <c r="Q6" s="3875"/>
      <c r="R6" s="1598" t="str">
        <f>结果表!O39</f>
        <v>——</v>
      </c>
    </row>
    <row r="7" spans="1:18">
      <c r="A7" s="3873" t="str">
        <f>IF(项目基本情况!B9="市场价格","——",IF(项目基本情况!E8="已注销及未注销","抵押担保权已注销时的抵押价格","——"))</f>
        <v>——</v>
      </c>
      <c r="B7" s="3874"/>
      <c r="C7" s="3874"/>
      <c r="D7" s="3874"/>
      <c r="E7" s="3874"/>
      <c r="F7" s="3874"/>
      <c r="G7" s="3874"/>
      <c r="H7" s="3874"/>
      <c r="I7" s="3874"/>
      <c r="J7" s="3874"/>
      <c r="K7" s="3874"/>
      <c r="L7" s="3874"/>
      <c r="M7" s="3874"/>
      <c r="N7" s="3874"/>
      <c r="O7" s="3874"/>
      <c r="P7" s="3874"/>
      <c r="Q7" s="3875"/>
      <c r="R7" s="1598" t="str">
        <f>结果表!O40</f>
        <v>——</v>
      </c>
    </row>
    <row r="8" spans="1:18">
      <c r="A8" s="3873" t="str">
        <f>IF(项目基本情况!B9="市场价格","——",项目基本情况!E9)</f>
        <v>——</v>
      </c>
      <c r="B8" s="3874"/>
      <c r="C8" s="3874"/>
      <c r="D8" s="3874"/>
      <c r="E8" s="3874"/>
      <c r="F8" s="3874"/>
      <c r="G8" s="3874"/>
      <c r="H8" s="3874"/>
      <c r="I8" s="3874"/>
      <c r="J8" s="3874"/>
      <c r="K8" s="3874"/>
      <c r="L8" s="3874"/>
      <c r="M8" s="3874"/>
      <c r="N8" s="3874"/>
      <c r="O8" s="3874"/>
      <c r="P8" s="3874"/>
      <c r="Q8" s="3875"/>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4077" t="s">
        <v>471</v>
      </c>
      <c r="D4" s="4078"/>
      <c r="E4" s="4099" t="s">
        <v>472</v>
      </c>
      <c r="F4" s="4100"/>
      <c r="G4" s="4077" t="s">
        <v>473</v>
      </c>
      <c r="H4" s="4078"/>
      <c r="I4" s="4077" t="s">
        <v>474</v>
      </c>
      <c r="J4" s="4078"/>
      <c r="K4" s="482" t="s">
        <v>475</v>
      </c>
      <c r="L4" s="1854"/>
      <c r="M4" s="1855"/>
      <c r="N4" s="1855"/>
      <c r="O4" s="1855"/>
      <c r="P4" s="4190" t="s">
        <v>476</v>
      </c>
      <c r="Q4" s="4080"/>
      <c r="R4" s="4063" t="s">
        <v>472</v>
      </c>
      <c r="S4" s="4064"/>
      <c r="T4" s="4063" t="s">
        <v>473</v>
      </c>
      <c r="U4" s="4064"/>
      <c r="V4" s="4085" t="s">
        <v>474</v>
      </c>
      <c r="W4" s="4085"/>
      <c r="X4" s="1378"/>
      <c r="Y4" s="4063" t="s">
        <v>476</v>
      </c>
      <c r="Z4" s="4064"/>
      <c r="AA4" s="4058" t="s">
        <v>472</v>
      </c>
      <c r="AB4" s="4058" t="s">
        <v>473</v>
      </c>
      <c r="AC4" s="4058" t="s">
        <v>474</v>
      </c>
    </row>
    <row r="5" spans="1:29" ht="15">
      <c r="A5" s="483"/>
      <c r="B5" s="484"/>
      <c r="C5" s="4088" t="s">
        <v>2190</v>
      </c>
      <c r="D5" s="4089"/>
      <c r="E5" s="4101" t="s">
        <v>2191</v>
      </c>
      <c r="F5" s="4102"/>
      <c r="G5" s="4088" t="s">
        <v>2192</v>
      </c>
      <c r="H5" s="4089"/>
      <c r="I5" s="4088" t="s">
        <v>2193</v>
      </c>
      <c r="J5" s="4089"/>
      <c r="K5" s="482"/>
      <c r="L5" s="1854"/>
      <c r="M5" s="1855"/>
      <c r="N5" s="1855"/>
      <c r="O5" s="1855"/>
      <c r="P5" s="4191"/>
      <c r="Q5" s="4082"/>
      <c r="R5" s="4065"/>
      <c r="S5" s="4066"/>
      <c r="T5" s="4065"/>
      <c r="U5" s="4066"/>
      <c r="V5" s="4085"/>
      <c r="W5" s="4085"/>
      <c r="X5" s="1378"/>
      <c r="Y5" s="4065"/>
      <c r="Z5" s="4066"/>
      <c r="AA5" s="4059"/>
      <c r="AB5" s="4059"/>
      <c r="AC5" s="4059"/>
    </row>
    <row r="6" spans="1:29" ht="15.75" thickBot="1">
      <c r="A6" s="485"/>
      <c r="B6" s="486"/>
      <c r="C6" s="4086" t="s">
        <v>2194</v>
      </c>
      <c r="D6" s="4087"/>
      <c r="E6" s="4186" t="s">
        <v>2194</v>
      </c>
      <c r="F6" s="4104"/>
      <c r="G6" s="4086" t="s">
        <v>2194</v>
      </c>
      <c r="H6" s="4087"/>
      <c r="I6" s="4086" t="s">
        <v>2194</v>
      </c>
      <c r="J6" s="4087"/>
      <c r="K6" s="482" t="s">
        <v>477</v>
      </c>
      <c r="L6" s="1854"/>
      <c r="M6" s="1855"/>
      <c r="N6" s="1855"/>
      <c r="O6" s="1855"/>
      <c r="P6" s="4192"/>
      <c r="Q6" s="4084"/>
      <c r="R6" s="4065"/>
      <c r="S6" s="4066"/>
      <c r="T6" s="4067"/>
      <c r="U6" s="4068"/>
      <c r="V6" s="4085"/>
      <c r="W6" s="4085"/>
      <c r="X6" s="1378"/>
      <c r="Y6" s="4067"/>
      <c r="Z6" s="4068"/>
      <c r="AA6" s="4060"/>
      <c r="AB6" s="4060"/>
      <c r="AC6" s="4060"/>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4070" t="s">
        <v>479</v>
      </c>
      <c r="Q7" s="4070"/>
      <c r="R7" s="1379" t="s">
        <v>5</v>
      </c>
      <c r="S7" s="1380">
        <f t="shared" ref="S7:S15" si="0">F7</f>
        <v>0</v>
      </c>
      <c r="T7" s="1379" t="s">
        <v>5</v>
      </c>
      <c r="U7" s="1380">
        <f t="shared" ref="U7:U15" si="1">H7</f>
        <v>0</v>
      </c>
      <c r="V7" s="1379" t="s">
        <v>5</v>
      </c>
      <c r="W7" s="1380">
        <f t="shared" ref="W7:W15"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4070" t="s">
        <v>482</v>
      </c>
      <c r="Q8" s="4062"/>
      <c r="R8" s="1379" t="s">
        <v>5</v>
      </c>
      <c r="S8" s="1380">
        <f t="shared" si="0"/>
        <v>0</v>
      </c>
      <c r="T8" s="1379" t="s">
        <v>5</v>
      </c>
      <c r="U8" s="1380">
        <f t="shared" si="1"/>
        <v>0</v>
      </c>
      <c r="V8" s="1379" t="s">
        <v>5</v>
      </c>
      <c r="W8" s="1380">
        <f t="shared" si="2"/>
        <v>0</v>
      </c>
      <c r="X8" s="1381"/>
      <c r="Y8" s="4061" t="s">
        <v>482</v>
      </c>
      <c r="Z8" s="4062"/>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4069" t="s">
        <v>484</v>
      </c>
      <c r="Q9" s="1048" t="str">
        <f t="shared" ref="Q9:Q15" si="6">B9</f>
        <v>用途</v>
      </c>
      <c r="R9" s="1379" t="s">
        <v>5</v>
      </c>
      <c r="S9" s="1380">
        <f t="shared" si="0"/>
        <v>100</v>
      </c>
      <c r="T9" s="1379" t="s">
        <v>5</v>
      </c>
      <c r="U9" s="1380">
        <f t="shared" si="1"/>
        <v>100</v>
      </c>
      <c r="V9" s="1379" t="s">
        <v>5</v>
      </c>
      <c r="W9" s="1380">
        <f t="shared" si="2"/>
        <v>100</v>
      </c>
      <c r="X9" s="1381"/>
      <c r="Y9" s="400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4069"/>
      <c r="Q11" s="1048" t="str">
        <f t="shared" si="6"/>
        <v>容积率</v>
      </c>
      <c r="R11" s="1379" t="s">
        <v>5</v>
      </c>
      <c r="S11" s="1380" t="e">
        <f t="shared" si="0"/>
        <v>#N/A</v>
      </c>
      <c r="T11" s="1379" t="s">
        <v>5</v>
      </c>
      <c r="U11" s="1380" t="e">
        <f t="shared" si="1"/>
        <v>#N/A</v>
      </c>
      <c r="V11" s="1379" t="s">
        <v>5</v>
      </c>
      <c r="W11" s="1380" t="e">
        <f t="shared" si="2"/>
        <v>#N/A</v>
      </c>
      <c r="X11" s="1381"/>
      <c r="Y11" s="400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4069"/>
      <c r="Q12" s="1048">
        <f t="shared" si="6"/>
        <v>111</v>
      </c>
      <c r="R12" s="1379" t="s">
        <v>5</v>
      </c>
      <c r="S12" s="1380">
        <f t="shared" si="0"/>
        <v>100</v>
      </c>
      <c r="T12" s="1379" t="s">
        <v>5</v>
      </c>
      <c r="U12" s="1380">
        <f t="shared" si="1"/>
        <v>100</v>
      </c>
      <c r="V12" s="1379" t="s">
        <v>5</v>
      </c>
      <c r="W12" s="1380">
        <f t="shared" si="2"/>
        <v>100</v>
      </c>
      <c r="X12" s="1381"/>
      <c r="Y12" s="4009"/>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4069"/>
      <c r="Q13" s="1048">
        <f t="shared" si="6"/>
        <v>111</v>
      </c>
      <c r="R13" s="1379" t="s">
        <v>5</v>
      </c>
      <c r="S13" s="1380">
        <f t="shared" si="0"/>
        <v>100</v>
      </c>
      <c r="T13" s="1379" t="s">
        <v>5</v>
      </c>
      <c r="U13" s="1380">
        <f t="shared" si="1"/>
        <v>100</v>
      </c>
      <c r="V13" s="1379" t="s">
        <v>5</v>
      </c>
      <c r="W13" s="1380">
        <f t="shared" si="2"/>
        <v>100</v>
      </c>
      <c r="X13" s="1381"/>
      <c r="Y13" s="4009"/>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4069"/>
      <c r="Q14" s="1048">
        <f t="shared" si="6"/>
        <v>111</v>
      </c>
      <c r="R14" s="1379" t="s">
        <v>5</v>
      </c>
      <c r="S14" s="1380">
        <f t="shared" si="0"/>
        <v>100</v>
      </c>
      <c r="T14" s="1379" t="s">
        <v>5</v>
      </c>
      <c r="U14" s="1380">
        <f t="shared" si="1"/>
        <v>100</v>
      </c>
      <c r="V14" s="1379" t="s">
        <v>5</v>
      </c>
      <c r="W14" s="1380">
        <f t="shared" si="2"/>
        <v>100</v>
      </c>
      <c r="X14" s="1381"/>
      <c r="Y14" s="4009"/>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4071" t="s">
        <v>489</v>
      </c>
      <c r="Q15" s="1383" t="str">
        <f t="shared" si="6"/>
        <v>办公集聚程度</v>
      </c>
      <c r="R15" s="1384" t="s">
        <v>5</v>
      </c>
      <c r="S15" s="1385">
        <f t="shared" si="0"/>
        <v>100</v>
      </c>
      <c r="T15" s="1384" t="s">
        <v>5</v>
      </c>
      <c r="U15" s="1385">
        <f t="shared" si="1"/>
        <v>100</v>
      </c>
      <c r="V15" s="1384" t="s">
        <v>5</v>
      </c>
      <c r="W15" s="1385">
        <f t="shared" si="2"/>
        <v>100</v>
      </c>
      <c r="X15" s="1378"/>
      <c r="Y15" s="4071"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4072"/>
      <c r="Q16" s="1383"/>
      <c r="R16" s="1384"/>
      <c r="S16" s="1385"/>
      <c r="T16" s="1384"/>
      <c r="U16" s="1385"/>
      <c r="V16" s="1384"/>
      <c r="W16" s="1385"/>
      <c r="X16" s="1378"/>
      <c r="Y16" s="4072"/>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4072"/>
      <c r="Q17" s="1383" t="str">
        <f>B17</f>
        <v>交通便捷度</v>
      </c>
      <c r="R17" s="1384" t="s">
        <v>5</v>
      </c>
      <c r="S17" s="1385">
        <f>F17</f>
        <v>100</v>
      </c>
      <c r="T17" s="1384" t="s">
        <v>5</v>
      </c>
      <c r="U17" s="1385">
        <f>H17</f>
        <v>100</v>
      </c>
      <c r="V17" s="1384" t="s">
        <v>5</v>
      </c>
      <c r="W17" s="1385">
        <f>J17</f>
        <v>100</v>
      </c>
      <c r="X17" s="1378"/>
      <c r="Y17" s="4072"/>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4072"/>
      <c r="Q18" s="1383"/>
      <c r="R18" s="1384"/>
      <c r="S18" s="1385"/>
      <c r="T18" s="1384"/>
      <c r="U18" s="1385"/>
      <c r="V18" s="1384"/>
      <c r="W18" s="1385"/>
      <c r="X18" s="1378"/>
      <c r="Y18" s="4072"/>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4072"/>
      <c r="Q19" s="1383" t="str">
        <f>B19</f>
        <v>公共配套设施</v>
      </c>
      <c r="R19" s="1384" t="s">
        <v>5</v>
      </c>
      <c r="S19" s="1385">
        <f>F19</f>
        <v>100</v>
      </c>
      <c r="T19" s="1384" t="s">
        <v>5</v>
      </c>
      <c r="U19" s="1385">
        <f>H19</f>
        <v>100</v>
      </c>
      <c r="V19" s="1384" t="s">
        <v>5</v>
      </c>
      <c r="W19" s="1385">
        <f>J19</f>
        <v>100</v>
      </c>
      <c r="X19" s="1378"/>
      <c r="Y19" s="4072"/>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4072"/>
      <c r="Q20" s="1383"/>
      <c r="R20" s="1384"/>
      <c r="S20" s="1385"/>
      <c r="T20" s="1384"/>
      <c r="U20" s="1385"/>
      <c r="V20" s="1384"/>
      <c r="W20" s="1385"/>
      <c r="X20" s="1378"/>
      <c r="Y20" s="4072"/>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4072"/>
      <c r="Q21" s="2191" t="str">
        <f>B21</f>
        <v>基础设施水平</v>
      </c>
      <c r="R21" s="1384" t="s">
        <v>5</v>
      </c>
      <c r="S21" s="1385">
        <f>F21</f>
        <v>100</v>
      </c>
      <c r="T21" s="1384" t="s">
        <v>5</v>
      </c>
      <c r="U21" s="1385">
        <f>H21</f>
        <v>100</v>
      </c>
      <c r="V21" s="1384" t="s">
        <v>5</v>
      </c>
      <c r="W21" s="1385">
        <f>J21</f>
        <v>100</v>
      </c>
      <c r="X21" s="2193"/>
      <c r="Y21" s="4072"/>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4072"/>
      <c r="Q22" s="2191"/>
      <c r="R22" s="1384"/>
      <c r="S22" s="1385"/>
      <c r="T22" s="1384"/>
      <c r="U22" s="1385"/>
      <c r="V22" s="1384"/>
      <c r="W22" s="1385"/>
      <c r="X22" s="2193"/>
      <c r="Y22" s="4072"/>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4072"/>
      <c r="Q23" s="1383" t="str">
        <f>B23</f>
        <v>环境质量</v>
      </c>
      <c r="R23" s="1384" t="s">
        <v>5</v>
      </c>
      <c r="S23" s="1385">
        <f>F23</f>
        <v>100</v>
      </c>
      <c r="T23" s="1384" t="s">
        <v>5</v>
      </c>
      <c r="U23" s="1385">
        <f>H23</f>
        <v>100</v>
      </c>
      <c r="V23" s="1384" t="s">
        <v>5</v>
      </c>
      <c r="W23" s="1385">
        <f>J23</f>
        <v>100</v>
      </c>
      <c r="X23" s="1378"/>
      <c r="Y23" s="4072"/>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4072"/>
      <c r="Q24" s="1383"/>
      <c r="R24" s="1384"/>
      <c r="S24" s="1385"/>
      <c r="T24" s="1384"/>
      <c r="U24" s="1385"/>
      <c r="V24" s="1384"/>
      <c r="W24" s="1385"/>
      <c r="X24" s="1378"/>
      <c r="Y24" s="4072"/>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4072"/>
      <c r="Q25" s="1383" t="str">
        <f>B25</f>
        <v>毗邻道路的类型与等级</v>
      </c>
      <c r="R25" s="1384" t="s">
        <v>5</v>
      </c>
      <c r="S25" s="1385">
        <f>F25</f>
        <v>100</v>
      </c>
      <c r="T25" s="1384" t="s">
        <v>5</v>
      </c>
      <c r="U25" s="1385">
        <f>H25</f>
        <v>100</v>
      </c>
      <c r="V25" s="1384" t="s">
        <v>5</v>
      </c>
      <c r="W25" s="1385">
        <f>J25</f>
        <v>100</v>
      </c>
      <c r="X25" s="1378"/>
      <c r="Y25" s="4072"/>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4072"/>
      <c r="Q26" s="1383"/>
      <c r="R26" s="1384"/>
      <c r="S26" s="1385"/>
      <c r="T26" s="1384"/>
      <c r="U26" s="1385"/>
      <c r="V26" s="1384"/>
      <c r="W26" s="1385"/>
      <c r="X26" s="1378"/>
      <c r="Y26" s="4072"/>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4072"/>
      <c r="Q27" s="1383" t="str">
        <f t="shared" ref="Q27:Q47" si="8">B27</f>
        <v>楼层</v>
      </c>
      <c r="R27" s="1384" t="s">
        <v>5</v>
      </c>
      <c r="S27" s="1385">
        <f>F27</f>
        <v>100</v>
      </c>
      <c r="T27" s="1384" t="s">
        <v>5</v>
      </c>
      <c r="U27" s="1385">
        <f>H27</f>
        <v>100</v>
      </c>
      <c r="V27" s="1384" t="s">
        <v>5</v>
      </c>
      <c r="W27" s="1385">
        <f>J27</f>
        <v>100</v>
      </c>
      <c r="X27" s="1378"/>
      <c r="Y27" s="4072"/>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4072"/>
      <c r="Q28" s="1048" t="str">
        <f t="shared" si="8"/>
        <v>朝向</v>
      </c>
      <c r="R28" s="1379" t="s">
        <v>5</v>
      </c>
      <c r="S28" s="1380">
        <f>F28</f>
        <v>100</v>
      </c>
      <c r="T28" s="1379" t="s">
        <v>5</v>
      </c>
      <c r="U28" s="1380">
        <f>H28</f>
        <v>100</v>
      </c>
      <c r="V28" s="1379" t="s">
        <v>5</v>
      </c>
      <c r="W28" s="1380">
        <f>J28</f>
        <v>100</v>
      </c>
      <c r="X28" s="1381"/>
      <c r="Y28" s="4072"/>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4072"/>
      <c r="Q29" s="1383">
        <f t="shared" si="8"/>
        <v>111</v>
      </c>
      <c r="R29" s="1384" t="s">
        <v>5</v>
      </c>
      <c r="S29" s="1385">
        <f t="shared" ref="S29:S47" si="9">F29</f>
        <v>100</v>
      </c>
      <c r="T29" s="1384" t="s">
        <v>5</v>
      </c>
      <c r="U29" s="1385">
        <f t="shared" ref="U29:U47" si="10">H29</f>
        <v>100</v>
      </c>
      <c r="V29" s="1384" t="s">
        <v>5</v>
      </c>
      <c r="W29" s="1385">
        <f t="shared" ref="W29:W47" si="11">J29</f>
        <v>100</v>
      </c>
      <c r="X29" s="1378"/>
      <c r="Y29" s="4072"/>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4072"/>
      <c r="Q30" s="1383">
        <f t="shared" si="8"/>
        <v>111</v>
      </c>
      <c r="R30" s="1384" t="s">
        <v>5</v>
      </c>
      <c r="S30" s="1385">
        <f t="shared" si="9"/>
        <v>100</v>
      </c>
      <c r="T30" s="1384" t="s">
        <v>5</v>
      </c>
      <c r="U30" s="1385">
        <f t="shared" si="10"/>
        <v>100</v>
      </c>
      <c r="V30" s="1384" t="s">
        <v>5</v>
      </c>
      <c r="W30" s="1385">
        <f t="shared" si="11"/>
        <v>100</v>
      </c>
      <c r="X30" s="1378"/>
      <c r="Y30" s="4072"/>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4072"/>
      <c r="Q31" s="1383">
        <f t="shared" si="8"/>
        <v>111</v>
      </c>
      <c r="R31" s="1384" t="s">
        <v>5</v>
      </c>
      <c r="S31" s="1385">
        <f t="shared" si="9"/>
        <v>100</v>
      </c>
      <c r="T31" s="1384" t="s">
        <v>5</v>
      </c>
      <c r="U31" s="1385">
        <f t="shared" si="10"/>
        <v>100</v>
      </c>
      <c r="V31" s="1384" t="s">
        <v>5</v>
      </c>
      <c r="W31" s="1385">
        <f t="shared" si="11"/>
        <v>100</v>
      </c>
      <c r="X31" s="1378"/>
      <c r="Y31" s="4072"/>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4072"/>
      <c r="Q32" s="1383">
        <f t="shared" si="8"/>
        <v>111</v>
      </c>
      <c r="R32" s="1384" t="s">
        <v>5</v>
      </c>
      <c r="S32" s="1385">
        <f t="shared" si="9"/>
        <v>100</v>
      </c>
      <c r="T32" s="1384" t="s">
        <v>5</v>
      </c>
      <c r="U32" s="1385">
        <f t="shared" si="10"/>
        <v>100</v>
      </c>
      <c r="V32" s="1384" t="s">
        <v>5</v>
      </c>
      <c r="W32" s="1385">
        <f t="shared" si="11"/>
        <v>100</v>
      </c>
      <c r="X32" s="1378"/>
      <c r="Y32" s="4072"/>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4073" t="s">
        <v>499</v>
      </c>
      <c r="Q33" s="1383" t="str">
        <f t="shared" si="8"/>
        <v>建筑类型</v>
      </c>
      <c r="R33" s="1384" t="s">
        <v>5</v>
      </c>
      <c r="S33" s="1385">
        <f t="shared" si="9"/>
        <v>100</v>
      </c>
      <c r="T33" s="1384" t="s">
        <v>5</v>
      </c>
      <c r="U33" s="1385">
        <f t="shared" si="10"/>
        <v>100</v>
      </c>
      <c r="V33" s="1384" t="s">
        <v>5</v>
      </c>
      <c r="W33" s="1385">
        <f t="shared" si="11"/>
        <v>100</v>
      </c>
      <c r="X33" s="1378"/>
      <c r="Y33" s="4074"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4074"/>
      <c r="Q34" s="1412" t="str">
        <f t="shared" si="8"/>
        <v>项目建筑规模</v>
      </c>
      <c r="R34" s="1388" t="s">
        <v>5</v>
      </c>
      <c r="S34" s="1389" t="e">
        <f t="shared" si="9"/>
        <v>#N/A</v>
      </c>
      <c r="T34" s="1388" t="s">
        <v>5</v>
      </c>
      <c r="U34" s="1389" t="e">
        <f t="shared" si="10"/>
        <v>#N/A</v>
      </c>
      <c r="V34" s="1388" t="s">
        <v>5</v>
      </c>
      <c r="W34" s="1389" t="e">
        <f t="shared" si="11"/>
        <v>#N/A</v>
      </c>
      <c r="X34" s="1390"/>
      <c r="Y34" s="4074"/>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4074"/>
      <c r="Q35" s="1383" t="str">
        <f t="shared" si="8"/>
        <v>建筑结构</v>
      </c>
      <c r="R35" s="1384" t="s">
        <v>5</v>
      </c>
      <c r="S35" s="1385">
        <f t="shared" si="9"/>
        <v>100</v>
      </c>
      <c r="T35" s="1384" t="s">
        <v>5</v>
      </c>
      <c r="U35" s="1385">
        <f t="shared" si="10"/>
        <v>100</v>
      </c>
      <c r="V35" s="1384" t="s">
        <v>5</v>
      </c>
      <c r="W35" s="1385">
        <f t="shared" si="11"/>
        <v>100</v>
      </c>
      <c r="X35" s="1378"/>
      <c r="Y35" s="4074"/>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4074"/>
      <c r="Q36" s="1383" t="str">
        <f t="shared" si="8"/>
        <v>公共部分装修</v>
      </c>
      <c r="R36" s="1384" t="s">
        <v>5</v>
      </c>
      <c r="S36" s="1385">
        <f t="shared" si="9"/>
        <v>100</v>
      </c>
      <c r="T36" s="1384" t="s">
        <v>5</v>
      </c>
      <c r="U36" s="1385">
        <f t="shared" si="10"/>
        <v>100</v>
      </c>
      <c r="V36" s="1384" t="s">
        <v>5</v>
      </c>
      <c r="W36" s="1385">
        <f t="shared" si="11"/>
        <v>100</v>
      </c>
      <c r="X36" s="1378"/>
      <c r="Y36" s="4074"/>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4074"/>
      <c r="Q37" s="1383" t="str">
        <f t="shared" si="8"/>
        <v>成新度</v>
      </c>
      <c r="R37" s="1384" t="s">
        <v>5</v>
      </c>
      <c r="S37" s="1385" t="e">
        <f t="shared" si="9"/>
        <v>#N/A</v>
      </c>
      <c r="T37" s="1384" t="s">
        <v>5</v>
      </c>
      <c r="U37" s="1385" t="e">
        <f t="shared" si="10"/>
        <v>#N/A</v>
      </c>
      <c r="V37" s="1384" t="s">
        <v>5</v>
      </c>
      <c r="W37" s="1385" t="e">
        <f t="shared" si="11"/>
        <v>#N/A</v>
      </c>
      <c r="X37" s="1378"/>
      <c r="Y37" s="4074"/>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4074"/>
      <c r="Q38" s="1048" t="str">
        <f t="shared" si="8"/>
        <v>写字楼等级</v>
      </c>
      <c r="R38" s="1379" t="s">
        <v>5</v>
      </c>
      <c r="S38" s="1380">
        <f t="shared" si="9"/>
        <v>100</v>
      </c>
      <c r="T38" s="1379" t="s">
        <v>5</v>
      </c>
      <c r="U38" s="1380">
        <f t="shared" si="10"/>
        <v>100</v>
      </c>
      <c r="V38" s="1379" t="s">
        <v>5</v>
      </c>
      <c r="W38" s="1380">
        <f t="shared" si="11"/>
        <v>100</v>
      </c>
      <c r="X38" s="1381"/>
      <c r="Y38" s="4074"/>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4074" t="s">
        <v>499</v>
      </c>
      <c r="Q39" s="1383" t="str">
        <f t="shared" si="8"/>
        <v>物业管理</v>
      </c>
      <c r="R39" s="1384" t="s">
        <v>5</v>
      </c>
      <c r="S39" s="1385">
        <f t="shared" si="9"/>
        <v>100</v>
      </c>
      <c r="T39" s="1384" t="s">
        <v>5</v>
      </c>
      <c r="U39" s="1385">
        <f t="shared" si="10"/>
        <v>100</v>
      </c>
      <c r="V39" s="1384" t="s">
        <v>5</v>
      </c>
      <c r="W39" s="1385">
        <f t="shared" si="11"/>
        <v>100</v>
      </c>
      <c r="X39" s="1378"/>
      <c r="Y39" s="4074"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4074"/>
      <c r="Q40" s="1383" t="str">
        <f t="shared" si="8"/>
        <v>市政基础设施</v>
      </c>
      <c r="R40" s="1384" t="s">
        <v>5</v>
      </c>
      <c r="S40" s="1385">
        <f t="shared" si="9"/>
        <v>100</v>
      </c>
      <c r="T40" s="1384" t="s">
        <v>5</v>
      </c>
      <c r="U40" s="1385">
        <f t="shared" si="10"/>
        <v>100</v>
      </c>
      <c r="V40" s="1384" t="s">
        <v>5</v>
      </c>
      <c r="W40" s="1385">
        <f t="shared" si="11"/>
        <v>100</v>
      </c>
      <c r="X40" s="1378"/>
      <c r="Y40" s="4074"/>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4074"/>
      <c r="Q41" s="1383" t="str">
        <f t="shared" si="8"/>
        <v>层高</v>
      </c>
      <c r="R41" s="1384" t="s">
        <v>5</v>
      </c>
      <c r="S41" s="1385">
        <f t="shared" si="9"/>
        <v>100</v>
      </c>
      <c r="T41" s="1384" t="s">
        <v>5</v>
      </c>
      <c r="U41" s="1385">
        <f t="shared" si="10"/>
        <v>100</v>
      </c>
      <c r="V41" s="1384" t="s">
        <v>5</v>
      </c>
      <c r="W41" s="1385">
        <f t="shared" si="11"/>
        <v>100</v>
      </c>
      <c r="X41" s="1378"/>
      <c r="Y41" s="4074"/>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4074"/>
      <c r="Q42" s="1412" t="str">
        <f t="shared" si="8"/>
        <v>单套建筑面积</v>
      </c>
      <c r="R42" s="1388" t="s">
        <v>5</v>
      </c>
      <c r="S42" s="1389">
        <f t="shared" si="9"/>
        <v>100</v>
      </c>
      <c r="T42" s="1388" t="s">
        <v>5</v>
      </c>
      <c r="U42" s="1389">
        <f t="shared" si="10"/>
        <v>100</v>
      </c>
      <c r="V42" s="1388" t="s">
        <v>5</v>
      </c>
      <c r="W42" s="1389">
        <f t="shared" si="11"/>
        <v>100</v>
      </c>
      <c r="X42" s="1390"/>
      <c r="Y42" s="4074"/>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4074"/>
      <c r="Q43" s="1383" t="str">
        <f t="shared" si="8"/>
        <v>内部装修</v>
      </c>
      <c r="R43" s="1384" t="s">
        <v>5</v>
      </c>
      <c r="S43" s="1385">
        <f t="shared" si="9"/>
        <v>100</v>
      </c>
      <c r="T43" s="1384" t="s">
        <v>5</v>
      </c>
      <c r="U43" s="1385">
        <f t="shared" si="10"/>
        <v>100</v>
      </c>
      <c r="V43" s="1384" t="s">
        <v>5</v>
      </c>
      <c r="W43" s="1385">
        <f t="shared" si="11"/>
        <v>100</v>
      </c>
      <c r="X43" s="1378"/>
      <c r="Y43" s="4074"/>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4074"/>
      <c r="Q44" s="1383" t="str">
        <f t="shared" si="8"/>
        <v>内部装修维护情况</v>
      </c>
      <c r="R44" s="1384" t="s">
        <v>5</v>
      </c>
      <c r="S44" s="1385">
        <f t="shared" si="9"/>
        <v>100</v>
      </c>
      <c r="T44" s="1384" t="s">
        <v>5</v>
      </c>
      <c r="U44" s="1385">
        <f t="shared" si="10"/>
        <v>100</v>
      </c>
      <c r="V44" s="1384" t="s">
        <v>5</v>
      </c>
      <c r="W44" s="1385">
        <f t="shared" si="11"/>
        <v>100</v>
      </c>
      <c r="X44" s="1378"/>
      <c r="Y44" s="4074"/>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4074"/>
      <c r="Q45" s="1048">
        <f t="shared" si="8"/>
        <v>111</v>
      </c>
      <c r="R45" s="1379" t="s">
        <v>5</v>
      </c>
      <c r="S45" s="1380">
        <f t="shared" si="9"/>
        <v>100</v>
      </c>
      <c r="T45" s="1379" t="s">
        <v>5</v>
      </c>
      <c r="U45" s="1380">
        <f t="shared" si="10"/>
        <v>100</v>
      </c>
      <c r="V45" s="1379" t="s">
        <v>5</v>
      </c>
      <c r="W45" s="1380">
        <f t="shared" si="11"/>
        <v>100</v>
      </c>
      <c r="X45" s="1381"/>
      <c r="Y45" s="4074"/>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4074"/>
      <c r="Q46" s="1383">
        <f t="shared" si="8"/>
        <v>111</v>
      </c>
      <c r="R46" s="1384" t="s">
        <v>5</v>
      </c>
      <c r="S46" s="1385">
        <f t="shared" si="9"/>
        <v>100</v>
      </c>
      <c r="T46" s="1384" t="s">
        <v>5</v>
      </c>
      <c r="U46" s="1385">
        <f t="shared" si="10"/>
        <v>100</v>
      </c>
      <c r="V46" s="1384" t="s">
        <v>5</v>
      </c>
      <c r="W46" s="1385">
        <f t="shared" si="11"/>
        <v>100</v>
      </c>
      <c r="X46" s="1378"/>
      <c r="Y46" s="4074"/>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189"/>
      <c r="Q47" s="1383">
        <f t="shared" si="8"/>
        <v>111</v>
      </c>
      <c r="R47" s="1384" t="s">
        <v>5</v>
      </c>
      <c r="S47" s="1385">
        <f t="shared" si="9"/>
        <v>100</v>
      </c>
      <c r="T47" s="1384" t="s">
        <v>5</v>
      </c>
      <c r="U47" s="1385">
        <f t="shared" si="10"/>
        <v>100</v>
      </c>
      <c r="V47" s="1384" t="s">
        <v>5</v>
      </c>
      <c r="W47" s="1385">
        <f t="shared" si="11"/>
        <v>100</v>
      </c>
      <c r="X47" s="1378"/>
      <c r="Y47" s="4189"/>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4076" t="str">
        <f>A48</f>
        <v>成交单价（元/平方米）</v>
      </c>
      <c r="Q48" s="4069"/>
      <c r="R48" s="4188">
        <f>E48</f>
        <v>0</v>
      </c>
      <c r="S48" s="4188"/>
      <c r="T48" s="4188">
        <f>G48</f>
        <v>0</v>
      </c>
      <c r="U48" s="4188"/>
      <c r="V48" s="4188">
        <f>I48</f>
        <v>0</v>
      </c>
      <c r="W48" s="4188"/>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4076" t="str">
        <f>A49</f>
        <v>比较价格（元/平方米）</v>
      </c>
      <c r="Q49" s="4069"/>
      <c r="R49" s="4188" t="e">
        <f>IF(F1="售价",ROUND(PRODUCT(R48,AA7:AA47),0),ROUND(PRODUCT(R48,AA7:AA47),1))</f>
        <v>#DIV/0!</v>
      </c>
      <c r="S49" s="4188"/>
      <c r="T49" s="4188" t="e">
        <f>IF(F1="售价",ROUND(PRODUCT(T48,AB7:AB47),0),ROUND(PRODUCT(T48,AB7:AB47),1))</f>
        <v>#DIV/0!</v>
      </c>
      <c r="U49" s="4188"/>
      <c r="V49" s="4188" t="e">
        <f>IF(F1="售价",ROUND(PRODUCT(V48,AC7:AC47),0),ROUND(PRODUCT(V48,AC7:AC47),1))</f>
        <v>#DIV/0!</v>
      </c>
      <c r="W49" s="4188"/>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193" t="str">
        <f>A50</f>
        <v>估价对象XX用房的比较价格（楼面单价，元/平方米）</v>
      </c>
      <c r="Q50" s="4076"/>
      <c r="R50" s="4187" t="e">
        <f>IF(F1="售价",ROUND(IF(D49="简单平均",AVERAGE(R49:V49),R49*F49+T49*H49+V49*J49),0),ROUND(IF(D49="简单平均",AVERAGE(R49:V49),R49*F49+T49*H49+V49*J49),1))</f>
        <v>#DIV/0!</v>
      </c>
      <c r="S50" s="4187"/>
      <c r="T50" s="4187"/>
      <c r="U50" s="4187"/>
      <c r="V50" s="4187"/>
      <c r="W50" s="4187"/>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4077" t="s">
        <v>471</v>
      </c>
      <c r="D4" s="4078"/>
      <c r="E4" s="4099" t="s">
        <v>472</v>
      </c>
      <c r="F4" s="4100"/>
      <c r="G4" s="4077" t="s">
        <v>473</v>
      </c>
      <c r="H4" s="4078"/>
      <c r="I4" s="4077" t="s">
        <v>474</v>
      </c>
      <c r="J4" s="4078"/>
      <c r="K4" s="482" t="s">
        <v>475</v>
      </c>
      <c r="L4" s="1854"/>
      <c r="M4" s="1855"/>
      <c r="N4" s="1855"/>
      <c r="O4" s="1855"/>
      <c r="P4" s="4079" t="s">
        <v>476</v>
      </c>
      <c r="Q4" s="4080"/>
      <c r="R4" s="4063" t="s">
        <v>472</v>
      </c>
      <c r="S4" s="4064"/>
      <c r="T4" s="4063" t="s">
        <v>473</v>
      </c>
      <c r="U4" s="4064"/>
      <c r="V4" s="4085" t="s">
        <v>474</v>
      </c>
      <c r="W4" s="4085"/>
      <c r="X4" s="1378"/>
      <c r="Y4" s="4063" t="s">
        <v>476</v>
      </c>
      <c r="Z4" s="4064"/>
      <c r="AA4" s="4058" t="s">
        <v>472</v>
      </c>
      <c r="AB4" s="4059" t="s">
        <v>473</v>
      </c>
      <c r="AC4" s="4058" t="s">
        <v>474</v>
      </c>
    </row>
    <row r="5" spans="1:29" ht="15">
      <c r="A5" s="483"/>
      <c r="B5" s="484"/>
      <c r="C5" s="4088" t="s">
        <v>2190</v>
      </c>
      <c r="D5" s="4089"/>
      <c r="E5" s="4101" t="s">
        <v>2191</v>
      </c>
      <c r="F5" s="4102"/>
      <c r="G5" s="4088" t="s">
        <v>2192</v>
      </c>
      <c r="H5" s="4089"/>
      <c r="I5" s="4088" t="s">
        <v>2193</v>
      </c>
      <c r="J5" s="4089"/>
      <c r="K5" s="482"/>
      <c r="L5" s="1854"/>
      <c r="M5" s="1855"/>
      <c r="N5" s="1855"/>
      <c r="O5" s="1855"/>
      <c r="P5" s="4081"/>
      <c r="Q5" s="4082"/>
      <c r="R5" s="4065"/>
      <c r="S5" s="4066"/>
      <c r="T5" s="4065"/>
      <c r="U5" s="4066"/>
      <c r="V5" s="4085"/>
      <c r="W5" s="4085"/>
      <c r="X5" s="1378"/>
      <c r="Y5" s="4065"/>
      <c r="Z5" s="4066"/>
      <c r="AA5" s="4059"/>
      <c r="AB5" s="4059"/>
      <c r="AC5" s="4059"/>
    </row>
    <row r="6" spans="1:29" ht="15.75" thickBot="1">
      <c r="A6" s="485"/>
      <c r="B6" s="486"/>
      <c r="C6" s="4086" t="s">
        <v>2194</v>
      </c>
      <c r="D6" s="4087"/>
      <c r="E6" s="4186" t="s">
        <v>2194</v>
      </c>
      <c r="F6" s="4104"/>
      <c r="G6" s="4086" t="s">
        <v>2194</v>
      </c>
      <c r="H6" s="4087"/>
      <c r="I6" s="4086" t="s">
        <v>2194</v>
      </c>
      <c r="J6" s="4087"/>
      <c r="K6" s="482" t="s">
        <v>477</v>
      </c>
      <c r="L6" s="1854"/>
      <c r="M6" s="1855"/>
      <c r="N6" s="1855"/>
      <c r="O6" s="1855"/>
      <c r="P6" s="4083"/>
      <c r="Q6" s="4084"/>
      <c r="R6" s="4065"/>
      <c r="S6" s="4066"/>
      <c r="T6" s="4067"/>
      <c r="U6" s="4068"/>
      <c r="V6" s="4085"/>
      <c r="W6" s="4085"/>
      <c r="X6" s="1378"/>
      <c r="Y6" s="4067"/>
      <c r="Z6" s="4068"/>
      <c r="AA6" s="4060"/>
      <c r="AB6" s="4060"/>
      <c r="AC6" s="4060"/>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4061" t="s">
        <v>479</v>
      </c>
      <c r="Q7" s="4070"/>
      <c r="R7" s="1379" t="s">
        <v>5</v>
      </c>
      <c r="S7" s="1380">
        <f t="shared" ref="S7:S15" si="0">F7</f>
        <v>0</v>
      </c>
      <c r="T7" s="1379" t="s">
        <v>5</v>
      </c>
      <c r="U7" s="1380">
        <f t="shared" ref="U7:U15" si="1">H7</f>
        <v>0</v>
      </c>
      <c r="V7" s="1379" t="s">
        <v>5</v>
      </c>
      <c r="W7" s="1380">
        <f t="shared" ref="W7:W15"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4061" t="s">
        <v>482</v>
      </c>
      <c r="Q8" s="4062"/>
      <c r="R8" s="1379" t="s">
        <v>5</v>
      </c>
      <c r="S8" s="1380">
        <f t="shared" si="0"/>
        <v>0</v>
      </c>
      <c r="T8" s="1379" t="s">
        <v>5</v>
      </c>
      <c r="U8" s="1380">
        <f t="shared" si="1"/>
        <v>0</v>
      </c>
      <c r="V8" s="1379" t="s">
        <v>5</v>
      </c>
      <c r="W8" s="1380">
        <f t="shared" si="2"/>
        <v>0</v>
      </c>
      <c r="X8" s="1381"/>
      <c r="Y8" s="4061" t="s">
        <v>482</v>
      </c>
      <c r="Z8" s="4062"/>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4069" t="s">
        <v>484</v>
      </c>
      <c r="Q9" s="1048" t="str">
        <f t="shared" ref="Q9:Q15" si="6">B9</f>
        <v>用途</v>
      </c>
      <c r="R9" s="1379" t="s">
        <v>5</v>
      </c>
      <c r="S9" s="1380">
        <f t="shared" si="0"/>
        <v>100</v>
      </c>
      <c r="T9" s="1379" t="s">
        <v>5</v>
      </c>
      <c r="U9" s="1380">
        <f t="shared" si="1"/>
        <v>100</v>
      </c>
      <c r="V9" s="1379" t="s">
        <v>5</v>
      </c>
      <c r="W9" s="1380">
        <f t="shared" si="2"/>
        <v>100</v>
      </c>
      <c r="X9" s="1381"/>
      <c r="Y9" s="400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4069"/>
      <c r="Q11" s="1048" t="str">
        <f t="shared" si="6"/>
        <v>容积率</v>
      </c>
      <c r="R11" s="1379" t="s">
        <v>5</v>
      </c>
      <c r="S11" s="1380" t="e">
        <f t="shared" si="0"/>
        <v>#N/A</v>
      </c>
      <c r="T11" s="1379" t="s">
        <v>5</v>
      </c>
      <c r="U11" s="1380" t="e">
        <f t="shared" si="1"/>
        <v>#N/A</v>
      </c>
      <c r="V11" s="1379" t="s">
        <v>5</v>
      </c>
      <c r="W11" s="1380" t="e">
        <f t="shared" si="2"/>
        <v>#N/A</v>
      </c>
      <c r="X11" s="1381"/>
      <c r="Y11" s="400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4069"/>
      <c r="Q12" s="1048">
        <f t="shared" si="6"/>
        <v>111</v>
      </c>
      <c r="R12" s="1379" t="s">
        <v>5</v>
      </c>
      <c r="S12" s="1380">
        <f t="shared" si="0"/>
        <v>100</v>
      </c>
      <c r="T12" s="1379" t="s">
        <v>5</v>
      </c>
      <c r="U12" s="1380">
        <f t="shared" si="1"/>
        <v>100</v>
      </c>
      <c r="V12" s="1379" t="s">
        <v>5</v>
      </c>
      <c r="W12" s="1380">
        <f t="shared" si="2"/>
        <v>100</v>
      </c>
      <c r="X12" s="1381"/>
      <c r="Y12" s="4009"/>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4069"/>
      <c r="Q13" s="1048">
        <f t="shared" si="6"/>
        <v>111</v>
      </c>
      <c r="R13" s="1379" t="s">
        <v>5</v>
      </c>
      <c r="S13" s="1380">
        <f t="shared" si="0"/>
        <v>100</v>
      </c>
      <c r="T13" s="1379" t="s">
        <v>5</v>
      </c>
      <c r="U13" s="1380">
        <f t="shared" si="1"/>
        <v>100</v>
      </c>
      <c r="V13" s="1379" t="s">
        <v>5</v>
      </c>
      <c r="W13" s="1380">
        <f t="shared" si="2"/>
        <v>100</v>
      </c>
      <c r="X13" s="1381"/>
      <c r="Y13" s="4009"/>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4069"/>
      <c r="Q14" s="1048">
        <f t="shared" si="6"/>
        <v>111</v>
      </c>
      <c r="R14" s="1379" t="s">
        <v>5</v>
      </c>
      <c r="S14" s="1380">
        <f t="shared" si="0"/>
        <v>100</v>
      </c>
      <c r="T14" s="1379" t="s">
        <v>5</v>
      </c>
      <c r="U14" s="1380">
        <f t="shared" si="1"/>
        <v>100</v>
      </c>
      <c r="V14" s="1379" t="s">
        <v>5</v>
      </c>
      <c r="W14" s="1380">
        <f t="shared" si="2"/>
        <v>100</v>
      </c>
      <c r="X14" s="1381"/>
      <c r="Y14" s="4009"/>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4071" t="s">
        <v>489</v>
      </c>
      <c r="Q15" s="1383" t="str">
        <f t="shared" si="6"/>
        <v>产业集聚程度</v>
      </c>
      <c r="R15" s="1384" t="s">
        <v>5</v>
      </c>
      <c r="S15" s="1385">
        <f t="shared" si="0"/>
        <v>100</v>
      </c>
      <c r="T15" s="1384" t="s">
        <v>5</v>
      </c>
      <c r="U15" s="1385">
        <f t="shared" si="1"/>
        <v>100</v>
      </c>
      <c r="V15" s="1384" t="s">
        <v>5</v>
      </c>
      <c r="W15" s="1385">
        <f t="shared" si="2"/>
        <v>100</v>
      </c>
      <c r="X15" s="1378"/>
      <c r="Y15" s="4071"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72"/>
      <c r="Q16" s="1383"/>
      <c r="R16" s="1384"/>
      <c r="S16" s="1385"/>
      <c r="T16" s="1384"/>
      <c r="U16" s="1385"/>
      <c r="V16" s="1384"/>
      <c r="W16" s="1385"/>
      <c r="X16" s="1378"/>
      <c r="Y16" s="4072"/>
      <c r="Z16" s="1386"/>
      <c r="AA16" s="1387">
        <v>1</v>
      </c>
      <c r="AB16" s="1387">
        <v>1</v>
      </c>
      <c r="AC16" s="1387">
        <v>1</v>
      </c>
    </row>
    <row r="17" spans="1:29" ht="171">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4072"/>
      <c r="Q17" s="1383" t="str">
        <f>B17</f>
        <v>交通便捷度</v>
      </c>
      <c r="R17" s="1384" t="s">
        <v>5</v>
      </c>
      <c r="S17" s="1385">
        <f>F17</f>
        <v>100</v>
      </c>
      <c r="T17" s="1384" t="s">
        <v>5</v>
      </c>
      <c r="U17" s="1385">
        <f>H17</f>
        <v>100</v>
      </c>
      <c r="V17" s="1384" t="s">
        <v>5</v>
      </c>
      <c r="W17" s="1385">
        <f>J17</f>
        <v>100</v>
      </c>
      <c r="X17" s="1378"/>
      <c r="Y17" s="407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72"/>
      <c r="Q18" s="1383"/>
      <c r="R18" s="1384"/>
      <c r="S18" s="1385"/>
      <c r="T18" s="1384"/>
      <c r="U18" s="1385"/>
      <c r="V18" s="1384"/>
      <c r="W18" s="1385"/>
      <c r="X18" s="1378"/>
      <c r="Y18" s="4072"/>
      <c r="Z18" s="1386"/>
      <c r="AA18" s="1387">
        <v>1</v>
      </c>
      <c r="AB18" s="1387">
        <v>1</v>
      </c>
      <c r="AC18" s="1387">
        <v>1</v>
      </c>
    </row>
    <row r="19" spans="1:29" ht="156.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4072"/>
      <c r="Q19" s="1383" t="str">
        <f>B19</f>
        <v>公共配套设施</v>
      </c>
      <c r="R19" s="1384" t="s">
        <v>5</v>
      </c>
      <c r="S19" s="1385">
        <f>F19</f>
        <v>100</v>
      </c>
      <c r="T19" s="1384" t="s">
        <v>5</v>
      </c>
      <c r="U19" s="1385">
        <f>H19</f>
        <v>100</v>
      </c>
      <c r="V19" s="1384" t="s">
        <v>5</v>
      </c>
      <c r="W19" s="1385">
        <f>J19</f>
        <v>100</v>
      </c>
      <c r="X19" s="1378"/>
      <c r="Y19" s="4072"/>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4072"/>
      <c r="Q20" s="1383"/>
      <c r="R20" s="1384"/>
      <c r="S20" s="1385"/>
      <c r="T20" s="1384"/>
      <c r="U20" s="1385"/>
      <c r="V20" s="1384"/>
      <c r="W20" s="1385"/>
      <c r="X20" s="1378"/>
      <c r="Y20" s="4072"/>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4072"/>
      <c r="Q21" s="2191" t="str">
        <f>B21</f>
        <v>基础设施水平</v>
      </c>
      <c r="R21" s="1384" t="s">
        <v>5</v>
      </c>
      <c r="S21" s="1385">
        <f>F21</f>
        <v>100</v>
      </c>
      <c r="T21" s="1384" t="s">
        <v>5</v>
      </c>
      <c r="U21" s="1385">
        <f>H21</f>
        <v>100</v>
      </c>
      <c r="V21" s="1384" t="s">
        <v>5</v>
      </c>
      <c r="W21" s="1385">
        <f>J21</f>
        <v>100</v>
      </c>
      <c r="X21" s="2193"/>
      <c r="Y21" s="4072"/>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4072"/>
      <c r="Q22" s="2191"/>
      <c r="R22" s="1384"/>
      <c r="S22" s="1385"/>
      <c r="T22" s="1384"/>
      <c r="U22" s="1385"/>
      <c r="V22" s="1384"/>
      <c r="W22" s="1385"/>
      <c r="X22" s="2193"/>
      <c r="Y22" s="4072"/>
      <c r="Z22" s="2192"/>
      <c r="AA22" s="1387">
        <v>1</v>
      </c>
      <c r="AB22" s="1387">
        <v>1</v>
      </c>
      <c r="AC22" s="1387">
        <v>1</v>
      </c>
    </row>
    <row r="23" spans="1:29" ht="99.7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4072"/>
      <c r="Q23" s="1383" t="str">
        <f>B23</f>
        <v>环境质量</v>
      </c>
      <c r="R23" s="1384" t="s">
        <v>5</v>
      </c>
      <c r="S23" s="1385">
        <f>F23</f>
        <v>100</v>
      </c>
      <c r="T23" s="1384" t="s">
        <v>5</v>
      </c>
      <c r="U23" s="1385">
        <f>H23</f>
        <v>100</v>
      </c>
      <c r="V23" s="1384" t="s">
        <v>5</v>
      </c>
      <c r="W23" s="1385">
        <f>J23</f>
        <v>100</v>
      </c>
      <c r="X23" s="1378"/>
      <c r="Y23" s="4072"/>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4072"/>
      <c r="Q24" s="1383"/>
      <c r="R24" s="1384"/>
      <c r="S24" s="1385"/>
      <c r="T24" s="1384"/>
      <c r="U24" s="1385"/>
      <c r="V24" s="1384"/>
      <c r="W24" s="1385"/>
      <c r="X24" s="1378"/>
      <c r="Y24" s="4072"/>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4072"/>
      <c r="Q25" s="1383">
        <f>B25</f>
        <v>111</v>
      </c>
      <c r="R25" s="1384" t="s">
        <v>5</v>
      </c>
      <c r="S25" s="1385">
        <f>F25</f>
        <v>100</v>
      </c>
      <c r="T25" s="1384" t="s">
        <v>5</v>
      </c>
      <c r="U25" s="1385">
        <f>H25</f>
        <v>100</v>
      </c>
      <c r="V25" s="1384" t="s">
        <v>5</v>
      </c>
      <c r="W25" s="1385">
        <f>J25</f>
        <v>100</v>
      </c>
      <c r="X25" s="1378"/>
      <c r="Y25" s="4072"/>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4072"/>
      <c r="Q26" s="1383">
        <f t="shared" ref="Q26:Q40" si="8">B26</f>
        <v>111</v>
      </c>
      <c r="R26" s="1384" t="s">
        <v>5</v>
      </c>
      <c r="S26" s="1385">
        <f>F26</f>
        <v>100</v>
      </c>
      <c r="T26" s="1384" t="s">
        <v>5</v>
      </c>
      <c r="U26" s="1385">
        <f>H26</f>
        <v>100</v>
      </c>
      <c r="V26" s="1384" t="s">
        <v>5</v>
      </c>
      <c r="W26" s="1385">
        <f>J26</f>
        <v>100</v>
      </c>
      <c r="X26" s="1378"/>
      <c r="Y26" s="4072"/>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4072"/>
      <c r="Q27" s="1048">
        <f t="shared" si="8"/>
        <v>111</v>
      </c>
      <c r="R27" s="1379" t="s">
        <v>5</v>
      </c>
      <c r="S27" s="1380">
        <f>F27</f>
        <v>100</v>
      </c>
      <c r="T27" s="1379" t="s">
        <v>5</v>
      </c>
      <c r="U27" s="1380">
        <f>H27</f>
        <v>100</v>
      </c>
      <c r="V27" s="1379" t="s">
        <v>5</v>
      </c>
      <c r="W27" s="1380">
        <f>J27</f>
        <v>100</v>
      </c>
      <c r="X27" s="1381"/>
      <c r="Y27" s="4072"/>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4072"/>
      <c r="Q28" s="1383">
        <f t="shared" si="8"/>
        <v>111</v>
      </c>
      <c r="R28" s="1384" t="s">
        <v>5</v>
      </c>
      <c r="S28" s="1385">
        <f t="shared" ref="S28:S40" si="9">F28</f>
        <v>100</v>
      </c>
      <c r="T28" s="1384" t="s">
        <v>5</v>
      </c>
      <c r="U28" s="1385">
        <f t="shared" ref="U28:U40" si="10">H28</f>
        <v>100</v>
      </c>
      <c r="V28" s="1384" t="s">
        <v>5</v>
      </c>
      <c r="W28" s="1385">
        <f t="shared" ref="W28:W40" si="11">J28</f>
        <v>100</v>
      </c>
      <c r="X28" s="1378"/>
      <c r="Y28" s="4072"/>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4073" t="s">
        <v>499</v>
      </c>
      <c r="Q29" s="1383" t="str">
        <f t="shared" si="8"/>
        <v>建筑类型</v>
      </c>
      <c r="R29" s="1384" t="s">
        <v>5</v>
      </c>
      <c r="S29" s="1385">
        <f t="shared" si="9"/>
        <v>100</v>
      </c>
      <c r="T29" s="1384" t="s">
        <v>5</v>
      </c>
      <c r="U29" s="1385">
        <f t="shared" si="10"/>
        <v>100</v>
      </c>
      <c r="V29" s="1384" t="s">
        <v>5</v>
      </c>
      <c r="W29" s="1385">
        <f t="shared" si="11"/>
        <v>100</v>
      </c>
      <c r="X29" s="1378"/>
      <c r="Y29" s="4074"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4074"/>
      <c r="Q30" s="1412" t="str">
        <f t="shared" si="8"/>
        <v>项目建筑规模</v>
      </c>
      <c r="R30" s="1388" t="s">
        <v>5</v>
      </c>
      <c r="S30" s="1389" t="e">
        <f t="shared" si="9"/>
        <v>#N/A</v>
      </c>
      <c r="T30" s="1388" t="s">
        <v>5</v>
      </c>
      <c r="U30" s="1389" t="e">
        <f t="shared" si="10"/>
        <v>#N/A</v>
      </c>
      <c r="V30" s="1388" t="s">
        <v>5</v>
      </c>
      <c r="W30" s="1389" t="e">
        <f t="shared" si="11"/>
        <v>#N/A</v>
      </c>
      <c r="X30" s="1390"/>
      <c r="Y30" s="4074"/>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4074"/>
      <c r="Q31" s="1383" t="str">
        <f t="shared" si="8"/>
        <v>建筑结构</v>
      </c>
      <c r="R31" s="1384" t="s">
        <v>5</v>
      </c>
      <c r="S31" s="1385">
        <f t="shared" si="9"/>
        <v>100</v>
      </c>
      <c r="T31" s="1384" t="s">
        <v>5</v>
      </c>
      <c r="U31" s="1385">
        <f t="shared" si="10"/>
        <v>100</v>
      </c>
      <c r="V31" s="1384" t="s">
        <v>5</v>
      </c>
      <c r="W31" s="1385">
        <f t="shared" si="11"/>
        <v>100</v>
      </c>
      <c r="X31" s="1378"/>
      <c r="Y31" s="4074"/>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4074"/>
      <c r="Q32" s="1383" t="str">
        <f t="shared" si="8"/>
        <v>公共部分装修</v>
      </c>
      <c r="R32" s="1384" t="s">
        <v>5</v>
      </c>
      <c r="S32" s="1385">
        <f t="shared" si="9"/>
        <v>100</v>
      </c>
      <c r="T32" s="1384" t="s">
        <v>5</v>
      </c>
      <c r="U32" s="1385">
        <f t="shared" si="10"/>
        <v>100</v>
      </c>
      <c r="V32" s="1384" t="s">
        <v>5</v>
      </c>
      <c r="W32" s="1385">
        <f t="shared" si="11"/>
        <v>100</v>
      </c>
      <c r="X32" s="1378"/>
      <c r="Y32" s="4074"/>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4074"/>
      <c r="Q33" s="1383" t="str">
        <f t="shared" si="8"/>
        <v>成新度</v>
      </c>
      <c r="R33" s="1384" t="s">
        <v>5</v>
      </c>
      <c r="S33" s="1385" t="e">
        <f t="shared" si="9"/>
        <v>#N/A</v>
      </c>
      <c r="T33" s="1384" t="s">
        <v>5</v>
      </c>
      <c r="U33" s="1385" t="e">
        <f t="shared" si="10"/>
        <v>#N/A</v>
      </c>
      <c r="V33" s="1384" t="s">
        <v>5</v>
      </c>
      <c r="W33" s="1385" t="e">
        <f t="shared" si="11"/>
        <v>#N/A</v>
      </c>
      <c r="X33" s="1378"/>
      <c r="Y33" s="4074"/>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4074"/>
      <c r="Q34" s="1048" t="str">
        <f t="shared" si="8"/>
        <v>物业管理</v>
      </c>
      <c r="R34" s="1379" t="s">
        <v>5</v>
      </c>
      <c r="S34" s="1380">
        <f t="shared" si="9"/>
        <v>100</v>
      </c>
      <c r="T34" s="1379" t="s">
        <v>5</v>
      </c>
      <c r="U34" s="1380">
        <f t="shared" si="10"/>
        <v>100</v>
      </c>
      <c r="V34" s="1379" t="s">
        <v>5</v>
      </c>
      <c r="W34" s="1380">
        <f t="shared" si="11"/>
        <v>100</v>
      </c>
      <c r="X34" s="1381"/>
      <c r="Y34" s="4074"/>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4074" t="s">
        <v>499</v>
      </c>
      <c r="Q35" s="1383" t="str">
        <f t="shared" si="8"/>
        <v>市政基础设施</v>
      </c>
      <c r="R35" s="1384" t="s">
        <v>5</v>
      </c>
      <c r="S35" s="1385">
        <f t="shared" si="9"/>
        <v>100</v>
      </c>
      <c r="T35" s="1384" t="s">
        <v>5</v>
      </c>
      <c r="U35" s="1385">
        <f t="shared" si="10"/>
        <v>100</v>
      </c>
      <c r="V35" s="1384" t="s">
        <v>5</v>
      </c>
      <c r="W35" s="1385">
        <f t="shared" si="11"/>
        <v>100</v>
      </c>
      <c r="X35" s="1378"/>
      <c r="Y35" s="4074"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4074"/>
      <c r="Q36" s="1383" t="str">
        <f t="shared" si="8"/>
        <v>内部装修</v>
      </c>
      <c r="R36" s="1384" t="s">
        <v>5</v>
      </c>
      <c r="S36" s="1385">
        <f t="shared" si="9"/>
        <v>100</v>
      </c>
      <c r="T36" s="1384" t="s">
        <v>5</v>
      </c>
      <c r="U36" s="1385">
        <f t="shared" si="10"/>
        <v>100</v>
      </c>
      <c r="V36" s="1384" t="s">
        <v>5</v>
      </c>
      <c r="W36" s="1385">
        <f t="shared" si="11"/>
        <v>100</v>
      </c>
      <c r="X36" s="1378"/>
      <c r="Y36" s="4074"/>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4074"/>
      <c r="Q37" s="1383" t="str">
        <f t="shared" si="8"/>
        <v>内部装修状况</v>
      </c>
      <c r="R37" s="1384" t="s">
        <v>5</v>
      </c>
      <c r="S37" s="1385">
        <f t="shared" si="9"/>
        <v>100</v>
      </c>
      <c r="T37" s="1384" t="s">
        <v>5</v>
      </c>
      <c r="U37" s="1385">
        <f t="shared" si="10"/>
        <v>100</v>
      </c>
      <c r="V37" s="1384" t="s">
        <v>5</v>
      </c>
      <c r="W37" s="1385">
        <f t="shared" si="11"/>
        <v>100</v>
      </c>
      <c r="X37" s="1378"/>
      <c r="Y37" s="4074"/>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4074"/>
      <c r="Q38" s="1412">
        <f t="shared" si="8"/>
        <v>111</v>
      </c>
      <c r="R38" s="1388" t="s">
        <v>5</v>
      </c>
      <c r="S38" s="1389">
        <f t="shared" si="9"/>
        <v>100</v>
      </c>
      <c r="T38" s="1388" t="s">
        <v>5</v>
      </c>
      <c r="U38" s="1389">
        <f t="shared" si="10"/>
        <v>100</v>
      </c>
      <c r="V38" s="1388" t="s">
        <v>5</v>
      </c>
      <c r="W38" s="1389">
        <f t="shared" si="11"/>
        <v>100</v>
      </c>
      <c r="X38" s="1390"/>
      <c r="Y38" s="4074"/>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4074"/>
      <c r="Q39" s="1383">
        <f t="shared" si="8"/>
        <v>111</v>
      </c>
      <c r="R39" s="1384" t="s">
        <v>5</v>
      </c>
      <c r="S39" s="1385">
        <f t="shared" si="9"/>
        <v>100</v>
      </c>
      <c r="T39" s="1384" t="s">
        <v>5</v>
      </c>
      <c r="U39" s="1385">
        <f t="shared" si="10"/>
        <v>100</v>
      </c>
      <c r="V39" s="1384" t="s">
        <v>5</v>
      </c>
      <c r="W39" s="1385">
        <f t="shared" si="11"/>
        <v>100</v>
      </c>
      <c r="X39" s="1378"/>
      <c r="Y39" s="4074"/>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189"/>
      <c r="Q40" s="1383">
        <f t="shared" si="8"/>
        <v>111</v>
      </c>
      <c r="R40" s="1384" t="s">
        <v>5</v>
      </c>
      <c r="S40" s="1385">
        <f t="shared" si="9"/>
        <v>100</v>
      </c>
      <c r="T40" s="1384" t="s">
        <v>5</v>
      </c>
      <c r="U40" s="1385">
        <f t="shared" si="10"/>
        <v>100</v>
      </c>
      <c r="V40" s="1384" t="s">
        <v>5</v>
      </c>
      <c r="W40" s="1385">
        <f t="shared" si="11"/>
        <v>100</v>
      </c>
      <c r="X40" s="1378"/>
      <c r="Y40" s="4189"/>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4069" t="str">
        <f>A41</f>
        <v>成交单价（元/平方米）</v>
      </c>
      <c r="Q41" s="4069"/>
      <c r="R41" s="4188">
        <f>E41</f>
        <v>0</v>
      </c>
      <c r="S41" s="4188"/>
      <c r="T41" s="4188">
        <f>G41</f>
        <v>0</v>
      </c>
      <c r="U41" s="4188"/>
      <c r="V41" s="4188">
        <f>I41</f>
        <v>0</v>
      </c>
      <c r="W41" s="4188"/>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4069" t="str">
        <f>A42</f>
        <v>比较价格（元/平方米）</v>
      </c>
      <c r="Q42" s="4069"/>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4075" t="str">
        <f>A43</f>
        <v>估价对象XX用房的比较价格（楼面单价，元/平方米）</v>
      </c>
      <c r="Q43" s="4076"/>
      <c r="R43" s="4187" t="e">
        <f>IF(F1="售价",ROUND(IF(D42="简单平均",AVERAGE(R42:V42),R42*F42+T42*H42+V42*J42),0),ROUND(IF(D42="简单平均",AVERAGE(R42:V42),R42*F42+T42*H42+V42*J42),1))</f>
        <v>#DIV/0!</v>
      </c>
      <c r="S43" s="4187"/>
      <c r="T43" s="4187"/>
      <c r="U43" s="4187"/>
      <c r="V43" s="4187"/>
      <c r="W43" s="4187"/>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77" t="s">
        <v>738</v>
      </c>
      <c r="D4" s="4078"/>
      <c r="E4" s="4077" t="s">
        <v>739</v>
      </c>
      <c r="F4" s="4078"/>
      <c r="G4" s="4077" t="s">
        <v>740</v>
      </c>
      <c r="H4" s="4078"/>
      <c r="I4" s="4077" t="s">
        <v>741</v>
      </c>
      <c r="J4" s="4078"/>
      <c r="K4" s="482" t="s">
        <v>742</v>
      </c>
      <c r="L4" s="1854"/>
      <c r="M4" s="1855"/>
      <c r="N4" s="1855"/>
      <c r="O4" s="1855"/>
      <c r="P4" s="4079" t="s">
        <v>743</v>
      </c>
      <c r="Q4" s="4080"/>
      <c r="R4" s="4063" t="s">
        <v>739</v>
      </c>
      <c r="S4" s="4064"/>
      <c r="T4" s="4063" t="s">
        <v>740</v>
      </c>
      <c r="U4" s="4064"/>
      <c r="V4" s="4085" t="s">
        <v>741</v>
      </c>
      <c r="W4" s="4085"/>
      <c r="X4" s="1378"/>
      <c r="Y4" s="4063" t="s">
        <v>743</v>
      </c>
      <c r="Z4" s="4064"/>
      <c r="AA4" s="4058" t="s">
        <v>739</v>
      </c>
      <c r="AB4" s="4059" t="s">
        <v>740</v>
      </c>
      <c r="AC4" s="4058" t="s">
        <v>741</v>
      </c>
    </row>
    <row r="5" spans="1:29" ht="15">
      <c r="A5" s="483"/>
      <c r="B5" s="484"/>
      <c r="C5" s="4088" t="s">
        <v>2190</v>
      </c>
      <c r="D5" s="4089"/>
      <c r="E5" s="4088" t="s">
        <v>2191</v>
      </c>
      <c r="F5" s="4089"/>
      <c r="G5" s="4088" t="s">
        <v>2192</v>
      </c>
      <c r="H5" s="4089"/>
      <c r="I5" s="4088" t="s">
        <v>2193</v>
      </c>
      <c r="J5" s="4089"/>
      <c r="K5" s="482"/>
      <c r="L5" s="1854"/>
      <c r="M5" s="1855"/>
      <c r="N5" s="1855"/>
      <c r="O5" s="1855"/>
      <c r="P5" s="4081"/>
      <c r="Q5" s="4082"/>
      <c r="R5" s="4065"/>
      <c r="S5" s="4066"/>
      <c r="T5" s="4065"/>
      <c r="U5" s="4066"/>
      <c r="V5" s="4085"/>
      <c r="W5" s="4085"/>
      <c r="X5" s="1378"/>
      <c r="Y5" s="4065"/>
      <c r="Z5" s="4066"/>
      <c r="AA5" s="4059"/>
      <c r="AB5" s="4059"/>
      <c r="AC5" s="4059"/>
    </row>
    <row r="6" spans="1:29" ht="15.75" thickBot="1">
      <c r="A6" s="485"/>
      <c r="B6" s="486"/>
      <c r="C6" s="4086" t="s">
        <v>2194</v>
      </c>
      <c r="D6" s="4087"/>
      <c r="E6" s="4090" t="s">
        <v>2194</v>
      </c>
      <c r="F6" s="4091"/>
      <c r="G6" s="4086" t="s">
        <v>2194</v>
      </c>
      <c r="H6" s="4087"/>
      <c r="I6" s="4086" t="s">
        <v>2194</v>
      </c>
      <c r="J6" s="4087"/>
      <c r="K6" s="482" t="s">
        <v>477</v>
      </c>
      <c r="L6" s="1854"/>
      <c r="M6" s="1855"/>
      <c r="N6" s="1855"/>
      <c r="O6" s="1855"/>
      <c r="P6" s="4083"/>
      <c r="Q6" s="4084"/>
      <c r="R6" s="4065"/>
      <c r="S6" s="4066"/>
      <c r="T6" s="4067"/>
      <c r="U6" s="4068"/>
      <c r="V6" s="4085"/>
      <c r="W6" s="4085"/>
      <c r="X6" s="1378"/>
      <c r="Y6" s="4067"/>
      <c r="Z6" s="4068"/>
      <c r="AA6" s="4060"/>
      <c r="AB6" s="4060"/>
      <c r="AC6" s="4060"/>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4061" t="s">
        <v>479</v>
      </c>
      <c r="Q7" s="4070"/>
      <c r="R7" s="1379" t="s">
        <v>5</v>
      </c>
      <c r="S7" s="1380">
        <f t="shared" ref="S7:S14" si="0">F7</f>
        <v>0</v>
      </c>
      <c r="T7" s="1379" t="s">
        <v>5</v>
      </c>
      <c r="U7" s="1380">
        <f t="shared" ref="U7:U14" si="1">H7</f>
        <v>0</v>
      </c>
      <c r="V7" s="1379" t="s">
        <v>5</v>
      </c>
      <c r="W7" s="1380">
        <f t="shared" ref="W7:W14"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4061" t="s">
        <v>482</v>
      </c>
      <c r="Q8" s="4062"/>
      <c r="R8" s="1379" t="s">
        <v>5</v>
      </c>
      <c r="S8" s="1380">
        <f t="shared" si="0"/>
        <v>0</v>
      </c>
      <c r="T8" s="1379" t="s">
        <v>5</v>
      </c>
      <c r="U8" s="1380">
        <f t="shared" si="1"/>
        <v>0</v>
      </c>
      <c r="V8" s="1379" t="s">
        <v>5</v>
      </c>
      <c r="W8" s="1380">
        <f t="shared" si="2"/>
        <v>0</v>
      </c>
      <c r="X8" s="1381"/>
      <c r="Y8" s="4061" t="s">
        <v>482</v>
      </c>
      <c r="Z8" s="4062"/>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4069" t="s">
        <v>484</v>
      </c>
      <c r="Q9" s="1048" t="str">
        <f t="shared" ref="Q9:Q14" si="6">B9</f>
        <v>用途</v>
      </c>
      <c r="R9" s="1379" t="s">
        <v>5</v>
      </c>
      <c r="S9" s="1380">
        <f t="shared" si="0"/>
        <v>100</v>
      </c>
      <c r="T9" s="1379" t="s">
        <v>5</v>
      </c>
      <c r="U9" s="1380">
        <f t="shared" si="1"/>
        <v>100</v>
      </c>
      <c r="V9" s="1379" t="s">
        <v>5</v>
      </c>
      <c r="W9" s="1380">
        <f t="shared" si="2"/>
        <v>100</v>
      </c>
      <c r="X9" s="1381"/>
      <c r="Y9" s="400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4069"/>
      <c r="Q11" s="1048">
        <f t="shared" si="6"/>
        <v>111</v>
      </c>
      <c r="R11" s="1379" t="s">
        <v>5</v>
      </c>
      <c r="S11" s="1380">
        <f t="shared" si="0"/>
        <v>100</v>
      </c>
      <c r="T11" s="1379" t="s">
        <v>5</v>
      </c>
      <c r="U11" s="1380">
        <f t="shared" si="1"/>
        <v>100</v>
      </c>
      <c r="V11" s="1379" t="s">
        <v>5</v>
      </c>
      <c r="W11" s="1380">
        <f t="shared" si="2"/>
        <v>100</v>
      </c>
      <c r="X11" s="1381"/>
      <c r="Y11" s="4009"/>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4069"/>
      <c r="Q12" s="1048">
        <f t="shared" si="6"/>
        <v>111</v>
      </c>
      <c r="R12" s="1379" t="s">
        <v>5</v>
      </c>
      <c r="S12" s="1380">
        <f t="shared" si="0"/>
        <v>100</v>
      </c>
      <c r="T12" s="1379" t="s">
        <v>5</v>
      </c>
      <c r="U12" s="1380">
        <f t="shared" si="1"/>
        <v>100</v>
      </c>
      <c r="V12" s="1379" t="s">
        <v>5</v>
      </c>
      <c r="W12" s="1380">
        <f t="shared" si="2"/>
        <v>100</v>
      </c>
      <c r="X12" s="1381"/>
      <c r="Y12" s="4009"/>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4069"/>
      <c r="Q13" s="1048">
        <f t="shared" si="6"/>
        <v>111</v>
      </c>
      <c r="R13" s="1379" t="s">
        <v>5</v>
      </c>
      <c r="S13" s="1380">
        <f t="shared" si="0"/>
        <v>100</v>
      </c>
      <c r="T13" s="1379" t="s">
        <v>5</v>
      </c>
      <c r="U13" s="1380">
        <f t="shared" si="1"/>
        <v>100</v>
      </c>
      <c r="V13" s="1379" t="s">
        <v>5</v>
      </c>
      <c r="W13" s="1380">
        <f t="shared" si="2"/>
        <v>100</v>
      </c>
      <c r="X13" s="1381"/>
      <c r="Y13" s="4009"/>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4071" t="s">
        <v>489</v>
      </c>
      <c r="Q14" s="1383" t="str">
        <f t="shared" si="6"/>
        <v>交通便捷度</v>
      </c>
      <c r="R14" s="1384" t="s">
        <v>5</v>
      </c>
      <c r="S14" s="1385">
        <f t="shared" si="0"/>
        <v>100</v>
      </c>
      <c r="T14" s="1384" t="s">
        <v>5</v>
      </c>
      <c r="U14" s="1385">
        <f t="shared" si="1"/>
        <v>100</v>
      </c>
      <c r="V14" s="1384" t="s">
        <v>5</v>
      </c>
      <c r="W14" s="1385">
        <f t="shared" si="2"/>
        <v>100</v>
      </c>
      <c r="X14" s="1378"/>
      <c r="Y14" s="4071"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4072"/>
      <c r="Q15" s="1383"/>
      <c r="R15" s="1384"/>
      <c r="S15" s="1385"/>
      <c r="T15" s="1384"/>
      <c r="U15" s="1385"/>
      <c r="V15" s="1384"/>
      <c r="W15" s="1385"/>
      <c r="X15" s="1378"/>
      <c r="Y15" s="4072"/>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4072"/>
      <c r="Q16" s="1383" t="str">
        <f>B16</f>
        <v>公共配套设施</v>
      </c>
      <c r="R16" s="1384" t="s">
        <v>5</v>
      </c>
      <c r="S16" s="1385">
        <f>F16</f>
        <v>100</v>
      </c>
      <c r="T16" s="1384" t="s">
        <v>5</v>
      </c>
      <c r="U16" s="1385">
        <f>H16</f>
        <v>100</v>
      </c>
      <c r="V16" s="1384" t="s">
        <v>5</v>
      </c>
      <c r="W16" s="1385">
        <f>J16</f>
        <v>100</v>
      </c>
      <c r="X16" s="1378"/>
      <c r="Y16" s="4072"/>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4072"/>
      <c r="Q17" s="1383"/>
      <c r="R17" s="1384"/>
      <c r="S17" s="1385"/>
      <c r="T17" s="1384"/>
      <c r="U17" s="1385"/>
      <c r="V17" s="1384"/>
      <c r="W17" s="1385"/>
      <c r="X17" s="1378"/>
      <c r="Y17" s="4072"/>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4072"/>
      <c r="Q18" s="2191" t="str">
        <f>B18</f>
        <v>基础设施水平</v>
      </c>
      <c r="R18" s="1384" t="s">
        <v>5</v>
      </c>
      <c r="S18" s="1385">
        <f>F18</f>
        <v>100</v>
      </c>
      <c r="T18" s="1384" t="s">
        <v>5</v>
      </c>
      <c r="U18" s="1385">
        <f>H18</f>
        <v>100</v>
      </c>
      <c r="V18" s="1384" t="s">
        <v>5</v>
      </c>
      <c r="W18" s="1385">
        <f>J18</f>
        <v>100</v>
      </c>
      <c r="X18" s="2193"/>
      <c r="Y18" s="4072"/>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4072"/>
      <c r="Q19" s="2191"/>
      <c r="R19" s="1384"/>
      <c r="S19" s="1385"/>
      <c r="T19" s="1384"/>
      <c r="U19" s="1385"/>
      <c r="V19" s="1384"/>
      <c r="W19" s="1385"/>
      <c r="X19" s="2193"/>
      <c r="Y19" s="4072"/>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4072"/>
      <c r="Q20" s="1383" t="str">
        <f>B20</f>
        <v>自然及人文环境</v>
      </c>
      <c r="R20" s="1384" t="s">
        <v>5</v>
      </c>
      <c r="S20" s="1385">
        <f>F20</f>
        <v>100</v>
      </c>
      <c r="T20" s="1384" t="s">
        <v>5</v>
      </c>
      <c r="U20" s="1385">
        <f>H20</f>
        <v>100</v>
      </c>
      <c r="V20" s="1384" t="s">
        <v>5</v>
      </c>
      <c r="W20" s="1385">
        <f>J20</f>
        <v>100</v>
      </c>
      <c r="X20" s="1378"/>
      <c r="Y20" s="4072"/>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4072"/>
      <c r="Q21" s="1383"/>
      <c r="R21" s="1384"/>
      <c r="S21" s="1385"/>
      <c r="T21" s="1384"/>
      <c r="U21" s="1385"/>
      <c r="V21" s="1384"/>
      <c r="W21" s="1385"/>
      <c r="X21" s="1378"/>
      <c r="Y21" s="4072"/>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4072"/>
      <c r="Q22" s="1383" t="str">
        <f>B22</f>
        <v>楼层</v>
      </c>
      <c r="R22" s="1384" t="s">
        <v>5</v>
      </c>
      <c r="S22" s="1385">
        <f>F22</f>
        <v>100</v>
      </c>
      <c r="T22" s="1384" t="s">
        <v>5</v>
      </c>
      <c r="U22" s="1385">
        <f>H22</f>
        <v>100</v>
      </c>
      <c r="V22" s="1384" t="s">
        <v>5</v>
      </c>
      <c r="W22" s="1385">
        <f>J22</f>
        <v>100</v>
      </c>
      <c r="X22" s="1378"/>
      <c r="Y22" s="4072"/>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4072"/>
      <c r="Q23" s="1383">
        <f>B23</f>
        <v>111</v>
      </c>
      <c r="R23" s="1384" t="s">
        <v>5</v>
      </c>
      <c r="S23" s="1385">
        <f>F23</f>
        <v>100</v>
      </c>
      <c r="T23" s="1384" t="s">
        <v>5</v>
      </c>
      <c r="U23" s="1385">
        <f>H23</f>
        <v>100</v>
      </c>
      <c r="V23" s="1384" t="s">
        <v>5</v>
      </c>
      <c r="W23" s="1385">
        <f>J23</f>
        <v>100</v>
      </c>
      <c r="X23" s="1378"/>
      <c r="Y23" s="4072"/>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4072"/>
      <c r="Q24" s="1383">
        <f t="shared" ref="Q24:Q36" si="8">B24</f>
        <v>111</v>
      </c>
      <c r="R24" s="1384" t="s">
        <v>5</v>
      </c>
      <c r="S24" s="1385">
        <f>F24</f>
        <v>100</v>
      </c>
      <c r="T24" s="1384" t="s">
        <v>5</v>
      </c>
      <c r="U24" s="1385">
        <f>H24</f>
        <v>100</v>
      </c>
      <c r="V24" s="1384" t="s">
        <v>5</v>
      </c>
      <c r="W24" s="1385">
        <f>J24</f>
        <v>100</v>
      </c>
      <c r="X24" s="1378"/>
      <c r="Y24" s="4072"/>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4072"/>
      <c r="Q25" s="1048">
        <f t="shared" si="8"/>
        <v>111</v>
      </c>
      <c r="R25" s="1379" t="s">
        <v>5</v>
      </c>
      <c r="S25" s="1380">
        <f>F25</f>
        <v>100</v>
      </c>
      <c r="T25" s="1379" t="s">
        <v>5</v>
      </c>
      <c r="U25" s="1380">
        <f>H25</f>
        <v>100</v>
      </c>
      <c r="V25" s="1379" t="s">
        <v>5</v>
      </c>
      <c r="W25" s="1380">
        <f>J25</f>
        <v>100</v>
      </c>
      <c r="X25" s="1381"/>
      <c r="Y25" s="4072"/>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4073"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074"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4074"/>
      <c r="Q27" s="1412" t="str">
        <f t="shared" si="8"/>
        <v>项目停车位配比</v>
      </c>
      <c r="R27" s="1388" t="s">
        <v>5</v>
      </c>
      <c r="S27" s="1389">
        <f t="shared" si="9"/>
        <v>100</v>
      </c>
      <c r="T27" s="1388" t="s">
        <v>5</v>
      </c>
      <c r="U27" s="1389">
        <f t="shared" si="10"/>
        <v>100</v>
      </c>
      <c r="V27" s="1388" t="s">
        <v>5</v>
      </c>
      <c r="W27" s="1389">
        <f t="shared" si="11"/>
        <v>100</v>
      </c>
      <c r="X27" s="1390"/>
      <c r="Y27" s="4074"/>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4074"/>
      <c r="Q28" s="1383" t="str">
        <f t="shared" si="8"/>
        <v>公共部分装修</v>
      </c>
      <c r="R28" s="1384" t="s">
        <v>5</v>
      </c>
      <c r="S28" s="1385">
        <f t="shared" si="9"/>
        <v>100</v>
      </c>
      <c r="T28" s="1384" t="s">
        <v>5</v>
      </c>
      <c r="U28" s="1385">
        <f t="shared" si="10"/>
        <v>100</v>
      </c>
      <c r="V28" s="1384" t="s">
        <v>5</v>
      </c>
      <c r="W28" s="1385">
        <f t="shared" si="11"/>
        <v>100</v>
      </c>
      <c r="X28" s="1378"/>
      <c r="Y28" s="4074"/>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4074"/>
      <c r="Q29" s="1383" t="str">
        <f t="shared" si="8"/>
        <v>成新率</v>
      </c>
      <c r="R29" s="1384" t="s">
        <v>5</v>
      </c>
      <c r="S29" s="1385" t="e">
        <f t="shared" si="9"/>
        <v>#N/A</v>
      </c>
      <c r="T29" s="1384" t="s">
        <v>5</v>
      </c>
      <c r="U29" s="1385" t="e">
        <f t="shared" si="10"/>
        <v>#N/A</v>
      </c>
      <c r="V29" s="1384" t="s">
        <v>5</v>
      </c>
      <c r="W29" s="1385" t="e">
        <f t="shared" si="11"/>
        <v>#N/A</v>
      </c>
      <c r="X29" s="1378"/>
      <c r="Y29" s="4074"/>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4074"/>
      <c r="Q30" s="1383" t="str">
        <f t="shared" si="8"/>
        <v>物业等级</v>
      </c>
      <c r="R30" s="1384" t="s">
        <v>5</v>
      </c>
      <c r="S30" s="1385">
        <f t="shared" si="9"/>
        <v>100</v>
      </c>
      <c r="T30" s="1384" t="s">
        <v>5</v>
      </c>
      <c r="U30" s="1385">
        <f t="shared" si="10"/>
        <v>100</v>
      </c>
      <c r="V30" s="1384" t="s">
        <v>5</v>
      </c>
      <c r="W30" s="1385">
        <f t="shared" si="11"/>
        <v>100</v>
      </c>
      <c r="X30" s="1378"/>
      <c r="Y30" s="4074"/>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4074"/>
      <c r="Q31" s="1048" t="str">
        <f t="shared" si="8"/>
        <v>停车位面积</v>
      </c>
      <c r="R31" s="1379" t="s">
        <v>5</v>
      </c>
      <c r="S31" s="1380" t="e">
        <f t="shared" si="9"/>
        <v>#N/A</v>
      </c>
      <c r="T31" s="1379" t="s">
        <v>5</v>
      </c>
      <c r="U31" s="1380" t="e">
        <f t="shared" si="10"/>
        <v>#N/A</v>
      </c>
      <c r="V31" s="1379" t="s">
        <v>5</v>
      </c>
      <c r="W31" s="1380" t="e">
        <f t="shared" si="11"/>
        <v>#N/A</v>
      </c>
      <c r="X31" s="1381"/>
      <c r="Y31" s="4074"/>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4074" t="s">
        <v>499</v>
      </c>
      <c r="Q32" s="1383" t="str">
        <f t="shared" si="8"/>
        <v>车位类型</v>
      </c>
      <c r="R32" s="1384" t="s">
        <v>5</v>
      </c>
      <c r="S32" s="1385">
        <f t="shared" si="9"/>
        <v>100</v>
      </c>
      <c r="T32" s="1384" t="s">
        <v>5</v>
      </c>
      <c r="U32" s="1385">
        <f t="shared" si="10"/>
        <v>100</v>
      </c>
      <c r="V32" s="1384" t="s">
        <v>5</v>
      </c>
      <c r="W32" s="1385">
        <f t="shared" si="11"/>
        <v>100</v>
      </c>
      <c r="X32" s="1378"/>
      <c r="Y32" s="4074"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4074"/>
      <c r="Q33" s="1383" t="str">
        <f t="shared" si="8"/>
        <v>是否直接入户</v>
      </c>
      <c r="R33" s="1384" t="s">
        <v>5</v>
      </c>
      <c r="S33" s="1385">
        <f t="shared" si="9"/>
        <v>100</v>
      </c>
      <c r="T33" s="1384" t="s">
        <v>5</v>
      </c>
      <c r="U33" s="1385">
        <f t="shared" si="10"/>
        <v>100</v>
      </c>
      <c r="V33" s="1384" t="s">
        <v>5</v>
      </c>
      <c r="W33" s="1385">
        <f t="shared" si="11"/>
        <v>100</v>
      </c>
      <c r="X33" s="1378"/>
      <c r="Y33" s="4074"/>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4074"/>
      <c r="Q34" s="1383">
        <f t="shared" si="8"/>
        <v>111</v>
      </c>
      <c r="R34" s="1384" t="s">
        <v>5</v>
      </c>
      <c r="S34" s="1385">
        <f t="shared" si="9"/>
        <v>100</v>
      </c>
      <c r="T34" s="1384" t="s">
        <v>5</v>
      </c>
      <c r="U34" s="1385">
        <f t="shared" si="10"/>
        <v>100</v>
      </c>
      <c r="V34" s="1384" t="s">
        <v>5</v>
      </c>
      <c r="W34" s="1385">
        <f t="shared" si="11"/>
        <v>100</v>
      </c>
      <c r="X34" s="1378"/>
      <c r="Y34" s="4074"/>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4074"/>
      <c r="Q35" s="1412">
        <f t="shared" si="8"/>
        <v>111</v>
      </c>
      <c r="R35" s="1388" t="s">
        <v>5</v>
      </c>
      <c r="S35" s="1389">
        <f t="shared" si="9"/>
        <v>100</v>
      </c>
      <c r="T35" s="1388" t="s">
        <v>5</v>
      </c>
      <c r="U35" s="1389">
        <f t="shared" si="10"/>
        <v>100</v>
      </c>
      <c r="V35" s="1388" t="s">
        <v>5</v>
      </c>
      <c r="W35" s="1389">
        <f t="shared" si="11"/>
        <v>100</v>
      </c>
      <c r="X35" s="1390"/>
      <c r="Y35" s="4074"/>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4074"/>
      <c r="Q36" s="1383">
        <f t="shared" si="8"/>
        <v>111</v>
      </c>
      <c r="R36" s="1384" t="s">
        <v>5</v>
      </c>
      <c r="S36" s="1385">
        <f t="shared" si="9"/>
        <v>100</v>
      </c>
      <c r="T36" s="1384" t="s">
        <v>5</v>
      </c>
      <c r="U36" s="1385">
        <f t="shared" si="10"/>
        <v>100</v>
      </c>
      <c r="V36" s="1384" t="s">
        <v>5</v>
      </c>
      <c r="W36" s="1385">
        <f t="shared" si="11"/>
        <v>100</v>
      </c>
      <c r="X36" s="1378"/>
      <c r="Y36" s="4074"/>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069" t="str">
        <f>A37</f>
        <v>成交单价</v>
      </c>
      <c r="Q37" s="4069"/>
      <c r="R37" s="4188">
        <f>E37</f>
        <v>0</v>
      </c>
      <c r="S37" s="4188"/>
      <c r="T37" s="4188">
        <f>G37</f>
        <v>0</v>
      </c>
      <c r="U37" s="4188"/>
      <c r="V37" s="4188">
        <f>I37</f>
        <v>0</v>
      </c>
      <c r="W37" s="4188"/>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4069" t="str">
        <f>A38</f>
        <v>比较价格（元/平方米）</v>
      </c>
      <c r="Q38" s="4069"/>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4075" t="str">
        <f>A39</f>
        <v>估价对象XX用房的比较价格（楼面单价，元/平方米）</v>
      </c>
      <c r="Q39" s="4076"/>
      <c r="R39" s="4187" t="e">
        <f>IF(F1="售价",ROUND(IF(D38="简单平均",AVERAGE(R38:W38),R38*F38+T38*H38+V38*J38),0),ROUND(IF(D38="简单平均",AVERAGE(R38:V38),R38*F38+T38*H38+V38*J38),1))</f>
        <v>#DIV/0!</v>
      </c>
      <c r="S39" s="4187"/>
      <c r="T39" s="4187"/>
      <c r="U39" s="4187"/>
      <c r="V39" s="4187"/>
      <c r="W39" s="4187"/>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77" t="s">
        <v>738</v>
      </c>
      <c r="D4" s="4078"/>
      <c r="E4" s="4099" t="s">
        <v>739</v>
      </c>
      <c r="F4" s="4100"/>
      <c r="G4" s="4077" t="s">
        <v>740</v>
      </c>
      <c r="H4" s="4078"/>
      <c r="I4" s="4077" t="s">
        <v>741</v>
      </c>
      <c r="J4" s="4078"/>
      <c r="K4" s="482" t="s">
        <v>742</v>
      </c>
      <c r="L4" s="1854"/>
      <c r="M4" s="1855"/>
      <c r="N4" s="1855"/>
      <c r="O4" s="1855"/>
      <c r="P4" s="4079" t="s">
        <v>743</v>
      </c>
      <c r="Q4" s="4080"/>
      <c r="R4" s="4063" t="s">
        <v>739</v>
      </c>
      <c r="S4" s="4064"/>
      <c r="T4" s="4063" t="s">
        <v>740</v>
      </c>
      <c r="U4" s="4064"/>
      <c r="V4" s="4085" t="s">
        <v>741</v>
      </c>
      <c r="W4" s="4085"/>
      <c r="X4" s="1378"/>
      <c r="Y4" s="4063" t="s">
        <v>743</v>
      </c>
      <c r="Z4" s="4064"/>
      <c r="AA4" s="4058" t="s">
        <v>739</v>
      </c>
      <c r="AB4" s="4059" t="s">
        <v>740</v>
      </c>
      <c r="AC4" s="4058" t="s">
        <v>741</v>
      </c>
    </row>
    <row r="5" spans="1:29" ht="15">
      <c r="A5" s="483"/>
      <c r="B5" s="484"/>
      <c r="C5" s="4088" t="s">
        <v>2190</v>
      </c>
      <c r="D5" s="4089"/>
      <c r="E5" s="4101" t="s">
        <v>2191</v>
      </c>
      <c r="F5" s="4102"/>
      <c r="G5" s="4088" t="s">
        <v>2192</v>
      </c>
      <c r="H5" s="4089"/>
      <c r="I5" s="4088" t="s">
        <v>2193</v>
      </c>
      <c r="J5" s="4089"/>
      <c r="K5" s="482"/>
      <c r="L5" s="1854"/>
      <c r="M5" s="1855"/>
      <c r="N5" s="1855"/>
      <c r="O5" s="1855"/>
      <c r="P5" s="4081"/>
      <c r="Q5" s="4082"/>
      <c r="R5" s="4065"/>
      <c r="S5" s="4066"/>
      <c r="T5" s="4065"/>
      <c r="U5" s="4066"/>
      <c r="V5" s="4085"/>
      <c r="W5" s="4085"/>
      <c r="X5" s="1378"/>
      <c r="Y5" s="4065"/>
      <c r="Z5" s="4066"/>
      <c r="AA5" s="4059"/>
      <c r="AB5" s="4059"/>
      <c r="AC5" s="4059"/>
    </row>
    <row r="6" spans="1:29" ht="15.75" thickBot="1">
      <c r="A6" s="485"/>
      <c r="B6" s="486"/>
      <c r="C6" s="4086" t="s">
        <v>2194</v>
      </c>
      <c r="D6" s="4087"/>
      <c r="E6" s="4186" t="s">
        <v>2194</v>
      </c>
      <c r="F6" s="4104"/>
      <c r="G6" s="4086" t="s">
        <v>2194</v>
      </c>
      <c r="H6" s="4087"/>
      <c r="I6" s="4086" t="s">
        <v>2194</v>
      </c>
      <c r="J6" s="4087"/>
      <c r="K6" s="482" t="s">
        <v>477</v>
      </c>
      <c r="L6" s="1854"/>
      <c r="M6" s="1855"/>
      <c r="N6" s="1855"/>
      <c r="O6" s="1855"/>
      <c r="P6" s="4083"/>
      <c r="Q6" s="4084"/>
      <c r="R6" s="4065"/>
      <c r="S6" s="4066"/>
      <c r="T6" s="4067"/>
      <c r="U6" s="4068"/>
      <c r="V6" s="4085"/>
      <c r="W6" s="4085"/>
      <c r="X6" s="1378"/>
      <c r="Y6" s="4067"/>
      <c r="Z6" s="4068"/>
      <c r="AA6" s="4060"/>
      <c r="AB6" s="4060"/>
      <c r="AC6" s="4060"/>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4061" t="s">
        <v>479</v>
      </c>
      <c r="Q7" s="4070"/>
      <c r="R7" s="1379" t="s">
        <v>5</v>
      </c>
      <c r="S7" s="1380">
        <f t="shared" ref="S7:S14" si="0">F7</f>
        <v>0</v>
      </c>
      <c r="T7" s="1379" t="s">
        <v>5</v>
      </c>
      <c r="U7" s="1380">
        <f t="shared" ref="U7:U14" si="1">H7</f>
        <v>0</v>
      </c>
      <c r="V7" s="1379" t="s">
        <v>5</v>
      </c>
      <c r="W7" s="1380">
        <f t="shared" ref="W7:W14" si="2">J7</f>
        <v>0</v>
      </c>
      <c r="X7" s="1381"/>
      <c r="Y7" s="4061" t="s">
        <v>479</v>
      </c>
      <c r="Z7" s="4062"/>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4061" t="s">
        <v>482</v>
      </c>
      <c r="Q8" s="4062"/>
      <c r="R8" s="1379" t="s">
        <v>5</v>
      </c>
      <c r="S8" s="1380">
        <f t="shared" si="0"/>
        <v>0</v>
      </c>
      <c r="T8" s="1379" t="s">
        <v>5</v>
      </c>
      <c r="U8" s="1380">
        <f t="shared" si="1"/>
        <v>0</v>
      </c>
      <c r="V8" s="1379" t="s">
        <v>5</v>
      </c>
      <c r="W8" s="1380">
        <f t="shared" si="2"/>
        <v>0</v>
      </c>
      <c r="X8" s="1381"/>
      <c r="Y8" s="4061" t="s">
        <v>482</v>
      </c>
      <c r="Z8" s="4062"/>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4069" t="s">
        <v>484</v>
      </c>
      <c r="Q9" s="1048" t="str">
        <f t="shared" ref="Q9:Q14" si="6">B9</f>
        <v>用途</v>
      </c>
      <c r="R9" s="1379" t="s">
        <v>5</v>
      </c>
      <c r="S9" s="1380">
        <f t="shared" si="0"/>
        <v>100</v>
      </c>
      <c r="T9" s="1379" t="s">
        <v>5</v>
      </c>
      <c r="U9" s="1380">
        <f t="shared" si="1"/>
        <v>100</v>
      </c>
      <c r="V9" s="1379" t="s">
        <v>5</v>
      </c>
      <c r="W9" s="1380">
        <f t="shared" si="2"/>
        <v>100</v>
      </c>
      <c r="X9" s="1381"/>
      <c r="Y9" s="400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4069"/>
      <c r="Q10" s="1048" t="str">
        <f t="shared" si="6"/>
        <v>土地使用年限（年）</v>
      </c>
      <c r="R10" s="1379" t="s">
        <v>5</v>
      </c>
      <c r="S10" s="1380">
        <f t="shared" si="0"/>
        <v>100</v>
      </c>
      <c r="T10" s="1379" t="s">
        <v>5</v>
      </c>
      <c r="U10" s="1380">
        <f t="shared" si="1"/>
        <v>100</v>
      </c>
      <c r="V10" s="1379" t="s">
        <v>5</v>
      </c>
      <c r="W10" s="1380">
        <f t="shared" si="2"/>
        <v>100</v>
      </c>
      <c r="X10" s="1381"/>
      <c r="Y10" s="4009"/>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4069"/>
      <c r="Q11" s="1048">
        <f t="shared" si="6"/>
        <v>111</v>
      </c>
      <c r="R11" s="1379" t="s">
        <v>5</v>
      </c>
      <c r="S11" s="1380">
        <f t="shared" si="0"/>
        <v>100</v>
      </c>
      <c r="T11" s="1379" t="s">
        <v>5</v>
      </c>
      <c r="U11" s="1380">
        <f t="shared" si="1"/>
        <v>100</v>
      </c>
      <c r="V11" s="1379" t="s">
        <v>5</v>
      </c>
      <c r="W11" s="1380">
        <f t="shared" si="2"/>
        <v>100</v>
      </c>
      <c r="X11" s="1381"/>
      <c r="Y11" s="4009"/>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4069"/>
      <c r="Q12" s="1048">
        <f t="shared" si="6"/>
        <v>111</v>
      </c>
      <c r="R12" s="1379" t="s">
        <v>5</v>
      </c>
      <c r="S12" s="1380">
        <f t="shared" si="0"/>
        <v>100</v>
      </c>
      <c r="T12" s="1379" t="s">
        <v>5</v>
      </c>
      <c r="U12" s="1380">
        <f t="shared" si="1"/>
        <v>100</v>
      </c>
      <c r="V12" s="1379" t="s">
        <v>5</v>
      </c>
      <c r="W12" s="1380">
        <f t="shared" si="2"/>
        <v>100</v>
      </c>
      <c r="X12" s="1381"/>
      <c r="Y12" s="4009"/>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4069"/>
      <c r="Q13" s="1048">
        <f t="shared" si="6"/>
        <v>111</v>
      </c>
      <c r="R13" s="1379" t="s">
        <v>5</v>
      </c>
      <c r="S13" s="1380">
        <f t="shared" si="0"/>
        <v>100</v>
      </c>
      <c r="T13" s="1379" t="s">
        <v>5</v>
      </c>
      <c r="U13" s="1380">
        <f t="shared" si="1"/>
        <v>100</v>
      </c>
      <c r="V13" s="1379" t="s">
        <v>5</v>
      </c>
      <c r="W13" s="1380">
        <f t="shared" si="2"/>
        <v>100</v>
      </c>
      <c r="X13" s="1381"/>
      <c r="Y13" s="4009"/>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4071" t="s">
        <v>489</v>
      </c>
      <c r="Q14" s="1383" t="str">
        <f t="shared" si="6"/>
        <v>交通便捷度</v>
      </c>
      <c r="R14" s="1384" t="s">
        <v>5</v>
      </c>
      <c r="S14" s="1385">
        <f t="shared" si="0"/>
        <v>100</v>
      </c>
      <c r="T14" s="1384" t="s">
        <v>5</v>
      </c>
      <c r="U14" s="1385">
        <f t="shared" si="1"/>
        <v>100</v>
      </c>
      <c r="V14" s="1384" t="s">
        <v>5</v>
      </c>
      <c r="W14" s="1385">
        <f t="shared" si="2"/>
        <v>100</v>
      </c>
      <c r="X14" s="1378"/>
      <c r="Y14" s="4071"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4072"/>
      <c r="Q15" s="1383"/>
      <c r="R15" s="1384"/>
      <c r="S15" s="1385"/>
      <c r="T15" s="1384"/>
      <c r="U15" s="1385"/>
      <c r="V15" s="1384"/>
      <c r="W15" s="1385"/>
      <c r="X15" s="1378"/>
      <c r="Y15" s="4072"/>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4072"/>
      <c r="Q16" s="1383" t="str">
        <f>B16</f>
        <v>公共配套设施</v>
      </c>
      <c r="R16" s="1384" t="s">
        <v>5</v>
      </c>
      <c r="S16" s="1385">
        <f>F16</f>
        <v>100</v>
      </c>
      <c r="T16" s="1384" t="s">
        <v>5</v>
      </c>
      <c r="U16" s="1385">
        <f>H16</f>
        <v>100</v>
      </c>
      <c r="V16" s="1384" t="s">
        <v>5</v>
      </c>
      <c r="W16" s="1385">
        <f>J16</f>
        <v>100</v>
      </c>
      <c r="X16" s="1378"/>
      <c r="Y16" s="4072"/>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4072"/>
      <c r="Q17" s="1383"/>
      <c r="R17" s="1384"/>
      <c r="S17" s="1385"/>
      <c r="T17" s="1384"/>
      <c r="U17" s="1385"/>
      <c r="V17" s="1384"/>
      <c r="W17" s="1385"/>
      <c r="X17" s="1378"/>
      <c r="Y17" s="4072"/>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4072"/>
      <c r="Q18" s="2191" t="str">
        <f>B18</f>
        <v>基础设施水平</v>
      </c>
      <c r="R18" s="1384" t="s">
        <v>5</v>
      </c>
      <c r="S18" s="1385">
        <f>F18</f>
        <v>100</v>
      </c>
      <c r="T18" s="1384" t="s">
        <v>5</v>
      </c>
      <c r="U18" s="1385">
        <f>H18</f>
        <v>100</v>
      </c>
      <c r="V18" s="1384" t="s">
        <v>5</v>
      </c>
      <c r="W18" s="1385">
        <f>J18</f>
        <v>100</v>
      </c>
      <c r="X18" s="2193"/>
      <c r="Y18" s="4072"/>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4072"/>
      <c r="Q19" s="2191"/>
      <c r="R19" s="1384"/>
      <c r="S19" s="1385"/>
      <c r="T19" s="1384"/>
      <c r="U19" s="1385"/>
      <c r="V19" s="1384"/>
      <c r="W19" s="1385"/>
      <c r="X19" s="2193"/>
      <c r="Y19" s="4072"/>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4072"/>
      <c r="Q20" s="1383" t="str">
        <f>B20</f>
        <v>自然及人文环境</v>
      </c>
      <c r="R20" s="1384" t="s">
        <v>5</v>
      </c>
      <c r="S20" s="1385">
        <f>F20</f>
        <v>100</v>
      </c>
      <c r="T20" s="1384" t="s">
        <v>5</v>
      </c>
      <c r="U20" s="1385">
        <f>H20</f>
        <v>100</v>
      </c>
      <c r="V20" s="1384" t="s">
        <v>5</v>
      </c>
      <c r="W20" s="1385">
        <f>J20</f>
        <v>100</v>
      </c>
      <c r="X20" s="1378"/>
      <c r="Y20" s="4072"/>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4072"/>
      <c r="Q21" s="1383"/>
      <c r="R21" s="1384"/>
      <c r="S21" s="1385"/>
      <c r="T21" s="1384"/>
      <c r="U21" s="1385"/>
      <c r="V21" s="1384"/>
      <c r="W21" s="1385"/>
      <c r="X21" s="1378"/>
      <c r="Y21" s="4072"/>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4072"/>
      <c r="Q22" s="1383" t="str">
        <f>B22</f>
        <v>楼层</v>
      </c>
      <c r="R22" s="1384" t="s">
        <v>5</v>
      </c>
      <c r="S22" s="1385">
        <f>F22</f>
        <v>100</v>
      </c>
      <c r="T22" s="1384" t="s">
        <v>5</v>
      </c>
      <c r="U22" s="1385">
        <f>H22</f>
        <v>100</v>
      </c>
      <c r="V22" s="1384" t="s">
        <v>5</v>
      </c>
      <c r="W22" s="1385">
        <f>J22</f>
        <v>100</v>
      </c>
      <c r="X22" s="1378"/>
      <c r="Y22" s="4072"/>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4072"/>
      <c r="Q23" s="1383">
        <f>B23</f>
        <v>111</v>
      </c>
      <c r="R23" s="1384" t="s">
        <v>5</v>
      </c>
      <c r="S23" s="1385">
        <f>F23</f>
        <v>100</v>
      </c>
      <c r="T23" s="1384" t="s">
        <v>5</v>
      </c>
      <c r="U23" s="1385">
        <f>H23</f>
        <v>100</v>
      </c>
      <c r="V23" s="1384" t="s">
        <v>5</v>
      </c>
      <c r="W23" s="1385">
        <f>J23</f>
        <v>100</v>
      </c>
      <c r="X23" s="1378"/>
      <c r="Y23" s="4072"/>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4072"/>
      <c r="Q24" s="1383">
        <f t="shared" ref="Q24:Q34" si="8">B24</f>
        <v>111</v>
      </c>
      <c r="R24" s="1384" t="s">
        <v>5</v>
      </c>
      <c r="S24" s="1385">
        <f>F24</f>
        <v>100</v>
      </c>
      <c r="T24" s="1384" t="s">
        <v>5</v>
      </c>
      <c r="U24" s="1385">
        <f>H24</f>
        <v>100</v>
      </c>
      <c r="V24" s="1384" t="s">
        <v>5</v>
      </c>
      <c r="W24" s="1385">
        <f>J24</f>
        <v>100</v>
      </c>
      <c r="X24" s="1378"/>
      <c r="Y24" s="4072"/>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4072"/>
      <c r="Q25" s="1048">
        <f t="shared" si="8"/>
        <v>111</v>
      </c>
      <c r="R25" s="1379" t="s">
        <v>5</v>
      </c>
      <c r="S25" s="1380">
        <f>F25</f>
        <v>100</v>
      </c>
      <c r="T25" s="1379" t="s">
        <v>5</v>
      </c>
      <c r="U25" s="1380">
        <f>H25</f>
        <v>100</v>
      </c>
      <c r="V25" s="1379" t="s">
        <v>5</v>
      </c>
      <c r="W25" s="1380">
        <f>J25</f>
        <v>100</v>
      </c>
      <c r="X25" s="1381"/>
      <c r="Y25" s="4072"/>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4073"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074"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4074"/>
      <c r="Q27" s="1412" t="str">
        <f t="shared" si="8"/>
        <v>成新率</v>
      </c>
      <c r="R27" s="1388" t="s">
        <v>5</v>
      </c>
      <c r="S27" s="1389" t="e">
        <f t="shared" si="9"/>
        <v>#N/A</v>
      </c>
      <c r="T27" s="1388" t="s">
        <v>5</v>
      </c>
      <c r="U27" s="1389" t="e">
        <f t="shared" si="10"/>
        <v>#N/A</v>
      </c>
      <c r="V27" s="1388" t="s">
        <v>5</v>
      </c>
      <c r="W27" s="1389" t="e">
        <f t="shared" si="11"/>
        <v>#N/A</v>
      </c>
      <c r="X27" s="1390"/>
      <c r="Y27" s="4074"/>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4074"/>
      <c r="Q28" s="1383" t="str">
        <f t="shared" si="8"/>
        <v>物业等级</v>
      </c>
      <c r="R28" s="1384" t="s">
        <v>5</v>
      </c>
      <c r="S28" s="1385">
        <f t="shared" si="9"/>
        <v>100</v>
      </c>
      <c r="T28" s="1384" t="s">
        <v>5</v>
      </c>
      <c r="U28" s="1385">
        <f t="shared" si="10"/>
        <v>100</v>
      </c>
      <c r="V28" s="1384" t="s">
        <v>5</v>
      </c>
      <c r="W28" s="1385">
        <f t="shared" si="11"/>
        <v>100</v>
      </c>
      <c r="X28" s="1378"/>
      <c r="Y28" s="4074"/>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4074"/>
      <c r="Q29" s="1383" t="str">
        <f t="shared" si="8"/>
        <v>有无电梯</v>
      </c>
      <c r="R29" s="1384" t="s">
        <v>5</v>
      </c>
      <c r="S29" s="1385">
        <f t="shared" si="9"/>
        <v>100</v>
      </c>
      <c r="T29" s="1384" t="s">
        <v>5</v>
      </c>
      <c r="U29" s="1385">
        <f t="shared" si="10"/>
        <v>100</v>
      </c>
      <c r="V29" s="1384" t="s">
        <v>5</v>
      </c>
      <c r="W29" s="1385">
        <f t="shared" si="11"/>
        <v>100</v>
      </c>
      <c r="X29" s="1378"/>
      <c r="Y29" s="4074"/>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4074"/>
      <c r="Q30" s="1383" t="str">
        <f t="shared" si="8"/>
        <v>建筑面积</v>
      </c>
      <c r="R30" s="1384" t="s">
        <v>5</v>
      </c>
      <c r="S30" s="1385" t="e">
        <f t="shared" si="9"/>
        <v>#N/A</v>
      </c>
      <c r="T30" s="1384" t="s">
        <v>5</v>
      </c>
      <c r="U30" s="1385" t="e">
        <f t="shared" si="10"/>
        <v>#N/A</v>
      </c>
      <c r="V30" s="1384" t="s">
        <v>5</v>
      </c>
      <c r="W30" s="1385" t="e">
        <f t="shared" si="11"/>
        <v>#N/A</v>
      </c>
      <c r="X30" s="1378"/>
      <c r="Y30" s="4074"/>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4074"/>
      <c r="Q31" s="1048" t="str">
        <f t="shared" si="8"/>
        <v>是否封闭</v>
      </c>
      <c r="R31" s="1379" t="s">
        <v>5</v>
      </c>
      <c r="S31" s="1380">
        <f t="shared" si="9"/>
        <v>100</v>
      </c>
      <c r="T31" s="1379" t="s">
        <v>5</v>
      </c>
      <c r="U31" s="1380">
        <f t="shared" si="10"/>
        <v>100</v>
      </c>
      <c r="V31" s="1379" t="s">
        <v>5</v>
      </c>
      <c r="W31" s="1380">
        <f t="shared" si="11"/>
        <v>100</v>
      </c>
      <c r="X31" s="1381"/>
      <c r="Y31" s="4074"/>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4074" t="s">
        <v>499</v>
      </c>
      <c r="Q32" s="1383">
        <f t="shared" si="8"/>
        <v>111</v>
      </c>
      <c r="R32" s="1384" t="s">
        <v>5</v>
      </c>
      <c r="S32" s="1385">
        <f t="shared" si="9"/>
        <v>100</v>
      </c>
      <c r="T32" s="1384" t="s">
        <v>5</v>
      </c>
      <c r="U32" s="1385">
        <f t="shared" si="10"/>
        <v>100</v>
      </c>
      <c r="V32" s="1384" t="s">
        <v>5</v>
      </c>
      <c r="W32" s="1385">
        <f t="shared" si="11"/>
        <v>100</v>
      </c>
      <c r="X32" s="1378"/>
      <c r="Y32" s="4074"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4074"/>
      <c r="Q33" s="1383">
        <f t="shared" si="8"/>
        <v>111</v>
      </c>
      <c r="R33" s="1384" t="s">
        <v>5</v>
      </c>
      <c r="S33" s="1385">
        <f t="shared" si="9"/>
        <v>100</v>
      </c>
      <c r="T33" s="1384" t="s">
        <v>5</v>
      </c>
      <c r="U33" s="1385">
        <f t="shared" si="10"/>
        <v>100</v>
      </c>
      <c r="V33" s="1384" t="s">
        <v>5</v>
      </c>
      <c r="W33" s="1385">
        <f t="shared" si="11"/>
        <v>100</v>
      </c>
      <c r="X33" s="1378"/>
      <c r="Y33" s="4074"/>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4074"/>
      <c r="Q34" s="1383">
        <f t="shared" si="8"/>
        <v>111</v>
      </c>
      <c r="R34" s="1384" t="s">
        <v>5</v>
      </c>
      <c r="S34" s="1385">
        <f t="shared" si="9"/>
        <v>100</v>
      </c>
      <c r="T34" s="1384" t="s">
        <v>5</v>
      </c>
      <c r="U34" s="1385">
        <f t="shared" si="10"/>
        <v>100</v>
      </c>
      <c r="V34" s="1384" t="s">
        <v>5</v>
      </c>
      <c r="W34" s="1385">
        <f t="shared" si="11"/>
        <v>100</v>
      </c>
      <c r="X34" s="1378"/>
      <c r="Y34" s="4074"/>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4069" t="str">
        <f>A35</f>
        <v>成交单价（元/平方米）</v>
      </c>
      <c r="Q35" s="4069"/>
      <c r="R35" s="4188">
        <f>E35</f>
        <v>0</v>
      </c>
      <c r="S35" s="4188"/>
      <c r="T35" s="4188">
        <f>G35</f>
        <v>0</v>
      </c>
      <c r="U35" s="4188"/>
      <c r="V35" s="4188">
        <f>I35</f>
        <v>0</v>
      </c>
      <c r="W35" s="4188"/>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4069" t="str">
        <f>A36</f>
        <v>比较价格（元/平方米）</v>
      </c>
      <c r="Q36" s="4069"/>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4075" t="str">
        <f>A37</f>
        <v>估价对象XX用房的比较价格（楼面单价，元/平方米）</v>
      </c>
      <c r="Q37" s="4076"/>
      <c r="R37" s="4187" t="e">
        <f>IF(F1="售价",ROUND(IF(D36="简单平均",AVERAGE(R36:W36),R36*F36+T36*H36+V36*J36),0),ROUND(IF(D36="简单平均",AVERAGE(R36:V36),R36*F36+T36*H36+V36*J36),1))</f>
        <v>#DIV/0!</v>
      </c>
      <c r="S37" s="4187"/>
      <c r="T37" s="4187"/>
      <c r="U37" s="4187"/>
      <c r="V37" s="4187"/>
      <c r="W37" s="4187"/>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197" t="s">
        <v>1661</v>
      </c>
      <c r="D1" s="4198"/>
      <c r="E1" s="4198"/>
      <c r="F1" s="4198"/>
      <c r="G1" s="4198"/>
      <c r="H1" s="4198"/>
      <c r="I1" s="4198"/>
      <c r="J1" s="4198"/>
      <c r="K1" s="4198"/>
      <c r="L1" s="4198"/>
      <c r="M1" s="4198"/>
      <c r="N1" s="4198"/>
      <c r="O1" s="4198"/>
      <c r="P1" s="4198"/>
      <c r="Q1" s="4198"/>
      <c r="R1" s="4198"/>
      <c r="S1" s="4199"/>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194" t="s">
        <v>14</v>
      </c>
      <c r="D22" s="4195"/>
      <c r="E22" s="4195"/>
      <c r="F22" s="4195"/>
      <c r="G22" s="4195"/>
      <c r="H22" s="4195"/>
      <c r="I22" s="4195"/>
      <c r="J22" s="4195"/>
      <c r="K22" s="4195"/>
      <c r="L22" s="4195"/>
      <c r="M22" s="4195"/>
      <c r="N22" s="4195"/>
      <c r="O22" s="4195"/>
      <c r="P22" s="4195"/>
      <c r="Q22" s="4196"/>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zoomScale="90" zoomScaleNormal="90" workbookViewId="0">
      <pane xSplit="6" ySplit="2" topLeftCell="J3" activePane="bottomRight" state="frozen"/>
      <selection pane="topRight" activeCell="G1" sqref="G1"/>
      <selection pane="bottomLeft" activeCell="A3" sqref="A3"/>
      <selection pane="bottomRight" activeCell="S3" sqref="S3"/>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customWidth="1"/>
    <col min="13" max="14" width="9.875" style="3686" customWidth="1"/>
    <col min="15" max="15" width="8.5" style="3686" customWidth="1"/>
    <col min="16" max="16" width="8.75" style="3686" customWidth="1"/>
    <col min="17" max="27" width="12.875" style="3686" customWidth="1"/>
    <col min="28" max="28" width="11.25" style="3686" customWidth="1"/>
    <col min="29" max="31" width="11.25" style="3704" customWidth="1"/>
    <col min="32"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66.375" style="3686" customWidth="1"/>
    <col min="50" max="16384" width="9" style="3686"/>
  </cols>
  <sheetData>
    <row r="1" spans="1:49" s="3681" customFormat="1" ht="20.100000000000001" customHeight="1">
      <c r="A1" s="4210" t="s">
        <v>1729</v>
      </c>
      <c r="B1" s="4205" t="s">
        <v>3303</v>
      </c>
      <c r="C1" s="4211" t="s">
        <v>3304</v>
      </c>
      <c r="D1" s="4205" t="s">
        <v>3305</v>
      </c>
      <c r="E1" s="4206" t="s">
        <v>3306</v>
      </c>
      <c r="F1" s="4205" t="s">
        <v>3307</v>
      </c>
      <c r="G1" s="4205" t="s">
        <v>3308</v>
      </c>
      <c r="H1" s="4206" t="s">
        <v>3309</v>
      </c>
      <c r="I1" s="4205" t="s">
        <v>3310</v>
      </c>
      <c r="J1" s="4205" t="s">
        <v>3311</v>
      </c>
      <c r="K1" s="4207" t="s">
        <v>3312</v>
      </c>
      <c r="L1" s="4207"/>
      <c r="M1" s="4207"/>
      <c r="N1" s="4207"/>
      <c r="O1" s="4207"/>
      <c r="P1" s="4206" t="s">
        <v>3313</v>
      </c>
      <c r="Q1" s="4206" t="s">
        <v>3314</v>
      </c>
      <c r="R1" s="4206"/>
      <c r="S1" s="4206"/>
      <c r="T1" s="4206"/>
      <c r="U1" s="4206"/>
      <c r="V1" s="4206"/>
      <c r="W1" s="4206"/>
      <c r="X1" s="4206"/>
      <c r="Y1" s="4206"/>
      <c r="Z1" s="4206"/>
      <c r="AA1" s="4206"/>
      <c r="AB1" s="4206"/>
      <c r="AC1" s="4208" t="s">
        <v>3315</v>
      </c>
      <c r="AD1" s="4208" t="s">
        <v>3316</v>
      </c>
      <c r="AE1" s="4208" t="s">
        <v>3317</v>
      </c>
      <c r="AF1" s="4204" t="s">
        <v>3318</v>
      </c>
      <c r="AG1" s="4204"/>
      <c r="AH1" s="4204"/>
      <c r="AI1" s="4204" t="s">
        <v>3319</v>
      </c>
      <c r="AJ1" s="4204"/>
      <c r="AK1" s="4204"/>
      <c r="AL1" s="3680"/>
      <c r="AM1" s="4200" t="s">
        <v>3320</v>
      </c>
      <c r="AN1" s="4200"/>
      <c r="AO1" s="4200"/>
      <c r="AP1" s="4201" t="s">
        <v>3321</v>
      </c>
      <c r="AQ1" s="4200" t="s">
        <v>3322</v>
      </c>
      <c r="AR1" s="4200"/>
      <c r="AS1" s="4200"/>
      <c r="AT1" s="4200" t="s">
        <v>3323</v>
      </c>
      <c r="AU1" s="4200"/>
      <c r="AV1" s="4200"/>
      <c r="AW1" s="4203" t="s">
        <v>3324</v>
      </c>
    </row>
    <row r="2" spans="1:49" s="3681" customFormat="1" ht="53.1" customHeight="1">
      <c r="A2" s="4210"/>
      <c r="B2" s="4205"/>
      <c r="C2" s="4211"/>
      <c r="D2" s="4205"/>
      <c r="E2" s="4206"/>
      <c r="F2" s="4205"/>
      <c r="G2" s="4205"/>
      <c r="H2" s="4206"/>
      <c r="I2" s="4205"/>
      <c r="J2" s="4205"/>
      <c r="K2" s="3682" t="s">
        <v>3325</v>
      </c>
      <c r="L2" s="3682" t="s">
        <v>3326</v>
      </c>
      <c r="M2" s="3682" t="s">
        <v>3327</v>
      </c>
      <c r="N2" s="3682" t="s">
        <v>3328</v>
      </c>
      <c r="O2" s="3682" t="s">
        <v>3329</v>
      </c>
      <c r="P2" s="4206"/>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209"/>
      <c r="AD2" s="4209"/>
      <c r="AE2" s="4209"/>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202"/>
      <c r="AQ2" s="3685" t="s">
        <v>3347</v>
      </c>
      <c r="AR2" s="3685" t="s">
        <v>3348</v>
      </c>
      <c r="AS2" s="3685" t="s">
        <v>3349</v>
      </c>
      <c r="AT2" s="3685" t="s">
        <v>3347</v>
      </c>
      <c r="AU2" s="3685" t="s">
        <v>3348</v>
      </c>
      <c r="AV2" s="3685" t="s">
        <v>3349</v>
      </c>
      <c r="AW2" s="4203"/>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c r="AW4" s="3686" t="s">
        <v>3726</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c r="AW5" s="3686" t="s">
        <v>3725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3723</v>
      </c>
    </row>
    <row r="7" spans="1:49" ht="81">
      <c r="A7" s="3686">
        <v>5</v>
      </c>
      <c r="B7" s="3687">
        <v>2023</v>
      </c>
      <c r="C7" s="3688">
        <v>1</v>
      </c>
      <c r="D7" s="3688" t="s">
        <v>3350</v>
      </c>
      <c r="E7" s="3688"/>
      <c r="F7" s="3689" t="s">
        <v>3371</v>
      </c>
      <c r="G7" s="3689" t="s">
        <v>3372</v>
      </c>
      <c r="H7" s="3689" t="s">
        <v>3360</v>
      </c>
      <c r="I7" s="3689" t="s">
        <v>3373</v>
      </c>
      <c r="J7" s="3689" t="s">
        <v>3374</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c r="AW7" s="3703" t="s">
        <v>3724</v>
      </c>
    </row>
    <row r="8" spans="1:49" s="3693" customFormat="1" ht="40.5">
      <c r="A8" s="3693">
        <v>6</v>
      </c>
      <c r="B8" s="3694">
        <v>2022</v>
      </c>
      <c r="C8" s="3695">
        <v>1</v>
      </c>
      <c r="D8" s="3695" t="s">
        <v>3350</v>
      </c>
      <c r="E8" s="3695"/>
      <c r="F8" s="3696" t="s">
        <v>3375</v>
      </c>
      <c r="G8" s="3696" t="s">
        <v>3376</v>
      </c>
      <c r="H8" s="3696" t="s">
        <v>3360</v>
      </c>
      <c r="I8" s="3696" t="s">
        <v>3377</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3378</v>
      </c>
      <c r="G9" s="3700" t="s">
        <v>3379</v>
      </c>
      <c r="H9" s="3700" t="s">
        <v>3360</v>
      </c>
      <c r="I9" s="3700" t="s">
        <v>3380</v>
      </c>
      <c r="J9" s="3700" t="s">
        <v>3381</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3382</v>
      </c>
      <c r="AQ9" s="3698">
        <f t="shared" si="7"/>
        <v>649</v>
      </c>
      <c r="AR9" s="3698">
        <f t="shared" si="8"/>
        <v>8060</v>
      </c>
      <c r="AS9" s="3698">
        <f t="shared" si="9"/>
        <v>8709</v>
      </c>
      <c r="AT9" s="3698">
        <f>ROUND(R9/O9,0)</f>
        <v>756</v>
      </c>
      <c r="AU9" s="3698">
        <f>ROUND(S9/O9,0)</f>
        <v>9393</v>
      </c>
      <c r="AV9" s="3698">
        <f t="shared" si="12"/>
        <v>10149</v>
      </c>
      <c r="AW9" s="3701" t="s">
        <v>3383</v>
      </c>
    </row>
    <row r="10" spans="1:49" s="3693" customFormat="1" ht="81" hidden="1">
      <c r="A10" s="3693">
        <v>8</v>
      </c>
      <c r="B10" s="3694">
        <v>2022</v>
      </c>
      <c r="C10" s="3695">
        <v>3</v>
      </c>
      <c r="D10" s="3695" t="s">
        <v>3350</v>
      </c>
      <c r="E10" s="3695"/>
      <c r="F10" s="3696" t="s">
        <v>3384</v>
      </c>
      <c r="G10" s="3696" t="s">
        <v>3385</v>
      </c>
      <c r="H10" s="3696" t="s">
        <v>3360</v>
      </c>
      <c r="I10" s="3696" t="s">
        <v>3386</v>
      </c>
      <c r="J10" s="3696" t="s">
        <v>3387</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3388</v>
      </c>
      <c r="G11" s="3689" t="s">
        <v>3379</v>
      </c>
      <c r="H11" s="3689" t="s">
        <v>3360</v>
      </c>
      <c r="I11" s="3689" t="s">
        <v>3389</v>
      </c>
      <c r="J11" s="3689" t="s">
        <v>3390</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3382</v>
      </c>
      <c r="AQ11" s="3687">
        <f t="shared" si="7"/>
        <v>472</v>
      </c>
      <c r="AR11" s="3687">
        <f t="shared" si="8"/>
        <v>1256</v>
      </c>
      <c r="AS11" s="3687">
        <f t="shared" si="9"/>
        <v>1728</v>
      </c>
      <c r="AT11" s="3687">
        <f t="shared" si="10"/>
        <v>0</v>
      </c>
      <c r="AU11" s="3687">
        <f t="shared" si="11"/>
        <v>-10</v>
      </c>
      <c r="AV11" s="3687">
        <f t="shared" si="12"/>
        <v>-10</v>
      </c>
      <c r="AW11" s="3703" t="s">
        <v>3391</v>
      </c>
    </row>
    <row r="12" spans="1:49" ht="94.5">
      <c r="A12" s="3686">
        <v>10</v>
      </c>
      <c r="B12" s="3687">
        <v>2021</v>
      </c>
      <c r="C12" s="3688">
        <v>7</v>
      </c>
      <c r="D12" s="3688" t="s">
        <v>3350</v>
      </c>
      <c r="E12" s="3688"/>
      <c r="F12" s="3689" t="s">
        <v>3392</v>
      </c>
      <c r="G12" s="3689" t="s">
        <v>3393</v>
      </c>
      <c r="H12" s="3689" t="s">
        <v>3360</v>
      </c>
      <c r="I12" s="3689" t="s">
        <v>3394</v>
      </c>
      <c r="J12" s="3689" t="s">
        <v>3395</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3396</v>
      </c>
      <c r="G13" s="3696" t="s">
        <v>3397</v>
      </c>
      <c r="H13" s="3696" t="s">
        <v>3360</v>
      </c>
      <c r="I13" s="3696" t="s">
        <v>3398</v>
      </c>
      <c r="J13" s="3696" t="s">
        <v>3399</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3400</v>
      </c>
      <c r="G14" s="3700" t="s">
        <v>3401</v>
      </c>
      <c r="H14" s="3700" t="s">
        <v>3360</v>
      </c>
      <c r="I14" s="3700" t="s">
        <v>3402</v>
      </c>
      <c r="J14" s="3700" t="s">
        <v>3403</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3382</v>
      </c>
      <c r="AQ14" s="3698">
        <f t="shared" si="13"/>
        <v>392</v>
      </c>
      <c r="AR14" s="3698">
        <f t="shared" si="8"/>
        <v>2446</v>
      </c>
      <c r="AS14" s="3698">
        <f t="shared" si="9"/>
        <v>2838</v>
      </c>
      <c r="AT14" s="3698">
        <f t="shared" si="14"/>
        <v>0</v>
      </c>
      <c r="AU14" s="3698">
        <f t="shared" si="11"/>
        <v>0</v>
      </c>
      <c r="AV14" s="3698">
        <f t="shared" si="12"/>
        <v>0</v>
      </c>
      <c r="AW14" s="3701" t="s">
        <v>3404</v>
      </c>
    </row>
    <row r="15" spans="1:49" s="3693" customFormat="1" ht="94.5">
      <c r="A15" s="3693">
        <v>13</v>
      </c>
      <c r="B15" s="3694">
        <v>2020</v>
      </c>
      <c r="C15" s="3695">
        <v>10</v>
      </c>
      <c r="D15" s="3695" t="s">
        <v>3350</v>
      </c>
      <c r="E15" s="3695"/>
      <c r="F15" s="3696" t="s">
        <v>3405</v>
      </c>
      <c r="G15" s="3696" t="s">
        <v>3385</v>
      </c>
      <c r="H15" s="3696" t="s">
        <v>3360</v>
      </c>
      <c r="I15" s="3696" t="s">
        <v>3406</v>
      </c>
      <c r="J15" s="3696" t="s">
        <v>3407</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3408</v>
      </c>
      <c r="G16" s="3700" t="s">
        <v>3401</v>
      </c>
      <c r="H16" s="3700" t="s">
        <v>3360</v>
      </c>
      <c r="I16" s="3700" t="s">
        <v>3409</v>
      </c>
      <c r="J16" s="3700" t="s">
        <v>3410</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3411</v>
      </c>
    </row>
    <row r="17" spans="1:49" ht="81">
      <c r="A17" s="3686">
        <v>15</v>
      </c>
      <c r="B17" s="3687">
        <v>2023</v>
      </c>
      <c r="C17" s="3688">
        <v>3</v>
      </c>
      <c r="D17" s="3688" t="s">
        <v>3350</v>
      </c>
      <c r="E17" s="3688"/>
      <c r="F17" s="3689" t="s">
        <v>3412</v>
      </c>
      <c r="G17" s="3689" t="s">
        <v>3401</v>
      </c>
      <c r="H17" s="3689" t="s">
        <v>3360</v>
      </c>
      <c r="I17" s="3689" t="s">
        <v>3413</v>
      </c>
      <c r="J17" s="3689" t="s">
        <v>3414</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703" t="s">
        <v>3415</v>
      </c>
    </row>
    <row r="18" spans="1:49" ht="81">
      <c r="A18" s="3686">
        <v>16</v>
      </c>
      <c r="B18" s="3687">
        <v>2022</v>
      </c>
      <c r="C18" s="3688">
        <v>3</v>
      </c>
      <c r="D18" s="3688" t="s">
        <v>3350</v>
      </c>
      <c r="E18" s="3688"/>
      <c r="F18" s="3689" t="s">
        <v>3416</v>
      </c>
      <c r="G18" s="3689" t="s">
        <v>3401</v>
      </c>
      <c r="H18" s="3689" t="s">
        <v>3360</v>
      </c>
      <c r="I18" s="3689" t="s">
        <v>3417</v>
      </c>
      <c r="J18" s="3689" t="s">
        <v>3418</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3419</v>
      </c>
      <c r="G19" s="3696" t="s">
        <v>3401</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3420</v>
      </c>
      <c r="G20" s="3700" t="s">
        <v>3421</v>
      </c>
      <c r="H20" s="3700" t="s">
        <v>3360</v>
      </c>
      <c r="I20" s="3700" t="s">
        <v>3422</v>
      </c>
      <c r="J20" s="3700" t="s">
        <v>3423</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3382</v>
      </c>
      <c r="AQ20" s="3698"/>
      <c r="AR20" s="3698"/>
      <c r="AS20" s="3698"/>
      <c r="AT20" s="3698"/>
      <c r="AU20" s="3698"/>
      <c r="AV20" s="3698"/>
      <c r="AW20" s="3701" t="s">
        <v>3424</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F1:F2"/>
    <mergeCell ref="A1:A2"/>
    <mergeCell ref="B1:B2"/>
    <mergeCell ref="C1:C2"/>
    <mergeCell ref="D1:D2"/>
    <mergeCell ref="E1:E2"/>
    <mergeCell ref="AI1:AK1"/>
    <mergeCell ref="G1:G2"/>
    <mergeCell ref="H1:H2"/>
    <mergeCell ref="I1:I2"/>
    <mergeCell ref="J1:J2"/>
    <mergeCell ref="K1:O1"/>
    <mergeCell ref="P1:P2"/>
    <mergeCell ref="Q1:AB1"/>
    <mergeCell ref="AC1:AC2"/>
    <mergeCell ref="AD1:AD2"/>
    <mergeCell ref="AE1:AE2"/>
    <mergeCell ref="AF1:AH1"/>
    <mergeCell ref="AM1:AO1"/>
    <mergeCell ref="AP1:AP2"/>
    <mergeCell ref="AQ1:AS1"/>
    <mergeCell ref="AT1:AV1"/>
    <mergeCell ref="AW1:AW2"/>
  </mergeCells>
  <phoneticPr fontId="22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21"/>
  <sheetViews>
    <sheetView workbookViewId="0">
      <selection activeCell="S13" sqref="S13:S21"/>
    </sheetView>
  </sheetViews>
  <sheetFormatPr defaultRowHeight="13.5"/>
  <cols>
    <col min="1" max="1" width="4.75" customWidth="1"/>
    <col min="2" max="2" width="61.375" customWidth="1"/>
    <col min="4" max="4" width="13.125" customWidth="1"/>
    <col min="6" max="6" width="11.375" customWidth="1"/>
    <col min="9" max="9" width="9" customWidth="1"/>
    <col min="10" max="10" width="4.125" customWidth="1"/>
    <col min="11" max="11" width="11.875" customWidth="1"/>
  </cols>
  <sheetData>
    <row r="1" spans="1:20" ht="60.75">
      <c r="A1" s="3711" t="s">
        <v>1729</v>
      </c>
      <c r="B1" s="3711" t="s">
        <v>1548</v>
      </c>
      <c r="C1" s="3711" t="s">
        <v>3440</v>
      </c>
      <c r="D1" s="3711" t="s">
        <v>3441</v>
      </c>
      <c r="E1" s="3711" t="s">
        <v>1550</v>
      </c>
      <c r="F1" s="3711" t="s">
        <v>3442</v>
      </c>
      <c r="G1" s="3711" t="s">
        <v>3443</v>
      </c>
      <c r="H1" s="3711" t="s">
        <v>3444</v>
      </c>
      <c r="I1" s="3711" t="s">
        <v>3445</v>
      </c>
      <c r="J1" s="3711" t="s">
        <v>3453</v>
      </c>
    </row>
    <row r="2" spans="1:20" ht="24">
      <c r="A2" s="3711">
        <v>1</v>
      </c>
      <c r="B2" s="3712" t="s">
        <v>3446</v>
      </c>
      <c r="C2" s="3712">
        <v>84246</v>
      </c>
      <c r="D2" s="3712" t="s">
        <v>3369</v>
      </c>
      <c r="E2" s="3712" t="s">
        <v>3447</v>
      </c>
      <c r="F2" s="3745">
        <v>44931</v>
      </c>
      <c r="G2" s="3713">
        <v>23049.66</v>
      </c>
      <c r="H2" s="3713">
        <v>20808.72</v>
      </c>
      <c r="I2" s="3713">
        <f>G2-H2</f>
        <v>2240.9399999999987</v>
      </c>
      <c r="J2" s="3733">
        <f t="shared" ref="J2:J7" si="0">ROUND(I2/G2,2)</f>
        <v>0.1</v>
      </c>
      <c r="K2">
        <f>ROUND(G2/C2*10000,0)</f>
        <v>2736</v>
      </c>
    </row>
    <row r="3" spans="1:20">
      <c r="A3" s="3711">
        <v>2</v>
      </c>
      <c r="B3" s="3714" t="s">
        <v>3448</v>
      </c>
      <c r="C3" s="3714">
        <v>60326.05</v>
      </c>
      <c r="D3" s="3714" t="s">
        <v>3449</v>
      </c>
      <c r="E3" s="3714" t="s">
        <v>3485</v>
      </c>
      <c r="F3" s="3715">
        <v>44832.000497685185</v>
      </c>
      <c r="G3" s="3713">
        <v>4964.83</v>
      </c>
      <c r="H3" s="3713">
        <v>4464.49</v>
      </c>
      <c r="I3" s="3713">
        <v>500.34000000000015</v>
      </c>
      <c r="J3" s="3733">
        <f t="shared" si="0"/>
        <v>0.1</v>
      </c>
      <c r="K3">
        <f t="shared" ref="K3:K7" si="1">ROUND(G3/C3*10000,0)</f>
        <v>823</v>
      </c>
    </row>
    <row r="4" spans="1:20">
      <c r="A4" s="3711">
        <v>3</v>
      </c>
      <c r="B4" s="3714" t="str">
        <f>Sheet2!C7</f>
        <v>顺义新城3401街区（高丽营镇中关村顺义园三代半产业基地）3-2-3(3号地B)地块M1工业用地国有建设用地使用权出让</v>
      </c>
      <c r="C4" s="3714">
        <f>Sheet2!F7</f>
        <v>39975.61</v>
      </c>
      <c r="D4" s="3714" t="str">
        <f>Sheet2!H7</f>
        <v>M1一类工业用地</v>
      </c>
      <c r="E4" s="3714" t="s">
        <v>3450</v>
      </c>
      <c r="F4" s="3715">
        <f>Sheet2!I7</f>
        <v>44760</v>
      </c>
      <c r="G4" s="3713">
        <f>Sheet2!J7</f>
        <v>3258.01</v>
      </c>
      <c r="H4" s="3713">
        <f>ROUND(Sheet2!M7*C4/10000,2)</f>
        <v>2862.25</v>
      </c>
      <c r="I4" s="3713">
        <f>ROUND(Sheet2!L7*C4/10000,2)</f>
        <v>395.76</v>
      </c>
      <c r="J4" s="3733">
        <f t="shared" si="0"/>
        <v>0.12</v>
      </c>
      <c r="K4">
        <f t="shared" si="1"/>
        <v>815</v>
      </c>
    </row>
    <row r="5" spans="1:20">
      <c r="A5" s="3711">
        <v>4</v>
      </c>
      <c r="B5" s="3714" t="str">
        <f>Sheet2!C6</f>
        <v>顺义新城3401街区（高丽营镇中关村科技园区顺义园三代半产业基地）2号地 2-1（东区）地块M1工业用地国有建设用地使用权出让</v>
      </c>
      <c r="C5" s="3714">
        <f>Sheet2!F6</f>
        <v>97536.66</v>
      </c>
      <c r="D5" s="3714" t="str">
        <f>Sheet2!H6</f>
        <v>M1一类工业用地</v>
      </c>
      <c r="E5" s="3714" t="s">
        <v>3485</v>
      </c>
      <c r="F5" s="3715">
        <f>Sheet2!I6</f>
        <v>44760</v>
      </c>
      <c r="G5" s="3713">
        <f>Sheet2!J6</f>
        <v>8017.51</v>
      </c>
      <c r="H5" s="3713">
        <f>ROUND(Sheet2!M6*C5/10000,2)</f>
        <v>6973.87</v>
      </c>
      <c r="I5" s="3713">
        <f>ROUND(Sheet2!L6*C5/10000,2)</f>
        <v>1043.6400000000001</v>
      </c>
      <c r="J5" s="3733">
        <f t="shared" si="0"/>
        <v>0.13</v>
      </c>
      <c r="K5">
        <f t="shared" si="1"/>
        <v>822</v>
      </c>
    </row>
    <row r="6" spans="1:20">
      <c r="A6" s="3711">
        <v>5</v>
      </c>
      <c r="B6" s="3714" t="str">
        <f>Sheet2!C5</f>
        <v>顺义新城第30街区30-27-02地块M1工业用地国有建设用地使用权出让</v>
      </c>
      <c r="C6" s="3714">
        <f>Sheet2!F5</f>
        <v>100726.26</v>
      </c>
      <c r="D6" s="3714" t="str">
        <f>Sheet2!H5</f>
        <v>M1一类工业用地</v>
      </c>
      <c r="E6" s="3714" t="s">
        <v>3486</v>
      </c>
      <c r="F6" s="3715">
        <f>Sheet2!I5</f>
        <v>44760</v>
      </c>
      <c r="G6" s="3713">
        <f>Sheet2!J5</f>
        <v>8098.39</v>
      </c>
      <c r="H6" s="3713">
        <f>ROUND(Sheet2!M5*C6/10000,2)</f>
        <v>1027.4100000000001</v>
      </c>
      <c r="I6" s="3713">
        <f>ROUND(Sheet2!L5*C6/10000,2)</f>
        <v>7070.98</v>
      </c>
      <c r="J6" s="3733">
        <f t="shared" si="0"/>
        <v>0.87</v>
      </c>
      <c r="K6">
        <f t="shared" si="1"/>
        <v>804</v>
      </c>
    </row>
    <row r="7" spans="1:20">
      <c r="A7" s="3711">
        <v>6</v>
      </c>
      <c r="B7" s="3714" t="str">
        <f>Sheet2!C4</f>
        <v>顺义区马坡聚源工业区A02-2-2地块M1一类 工业项目</v>
      </c>
      <c r="C7" s="3714">
        <f>Sheet2!F4</f>
        <v>22386</v>
      </c>
      <c r="D7" s="3714" t="str">
        <f>Sheet2!H4</f>
        <v>M1一类工业用地</v>
      </c>
      <c r="E7" s="3714"/>
      <c r="F7" s="3715">
        <f>Sheet2!I4</f>
        <v>44446</v>
      </c>
      <c r="G7" s="3713">
        <f>Sheet2!J4</f>
        <v>1811.03</v>
      </c>
      <c r="H7" s="3713">
        <f>ROUND(Sheet2!M4*C7/10000,2)</f>
        <v>671.58</v>
      </c>
      <c r="I7" s="3713">
        <f>ROUND(Sheet2!L4*C7/10000,2)</f>
        <v>1139.45</v>
      </c>
      <c r="J7" s="3733">
        <f t="shared" si="0"/>
        <v>0.63</v>
      </c>
      <c r="K7">
        <f t="shared" si="1"/>
        <v>809</v>
      </c>
    </row>
    <row r="8" spans="1:20">
      <c r="A8" s="3711">
        <v>5</v>
      </c>
      <c r="B8" s="3714" t="e">
        <f>C5:J5</f>
        <v>#VALUE!</v>
      </c>
      <c r="C8" s="3714">
        <v>200000</v>
      </c>
      <c r="D8" s="3714" t="s">
        <v>3451</v>
      </c>
      <c r="E8" s="3714" t="s">
        <v>3452</v>
      </c>
      <c r="F8" s="3715">
        <v>44307.000497685185</v>
      </c>
      <c r="G8" s="3713">
        <v>13020</v>
      </c>
      <c r="H8" s="3713">
        <v>10476.870000000001</v>
      </c>
      <c r="I8" s="3713">
        <v>2543.1299999999992</v>
      </c>
      <c r="J8" s="3733">
        <f t="shared" ref="J8" si="2">ROUND(I8/G8,2)</f>
        <v>0.2</v>
      </c>
    </row>
    <row r="9" spans="1:20">
      <c r="A9" s="3716"/>
      <c r="B9" s="3717"/>
      <c r="C9" s="3717"/>
      <c r="D9" s="3717"/>
      <c r="E9" s="3717"/>
      <c r="F9" s="3718"/>
      <c r="G9" s="3719"/>
      <c r="H9" s="3719"/>
      <c r="I9" s="3719"/>
      <c r="J9" s="3720"/>
    </row>
    <row r="10" spans="1:20">
      <c r="A10" s="3716"/>
      <c r="B10" s="3717"/>
      <c r="C10" s="3717"/>
      <c r="D10" s="3717"/>
      <c r="E10" s="3717"/>
      <c r="F10" s="3718"/>
      <c r="G10" s="3719"/>
      <c r="H10" s="3719"/>
      <c r="I10" s="3719"/>
      <c r="J10" s="3720"/>
    </row>
    <row r="11" spans="1:20">
      <c r="A11" s="3667"/>
      <c r="B11" s="3667"/>
      <c r="C11" s="3667"/>
      <c r="D11" s="3667"/>
      <c r="E11" s="3667"/>
      <c r="F11" s="3667"/>
      <c r="G11" s="3667"/>
      <c r="H11" s="3667"/>
      <c r="I11" s="3667"/>
      <c r="J11" s="3671">
        <f>ROUND(AVERAGE(J2:J8),3)</f>
        <v>0.307</v>
      </c>
    </row>
    <row r="12" spans="1:20" s="2416" customFormat="1">
      <c r="A12" s="3784" t="s">
        <v>3718</v>
      </c>
      <c r="B12" s="2416" t="s">
        <v>3663</v>
      </c>
      <c r="C12" s="2416" t="s">
        <v>3664</v>
      </c>
      <c r="D12" s="2416" t="s">
        <v>3665</v>
      </c>
      <c r="E12" s="2416" t="s">
        <v>3666</v>
      </c>
      <c r="F12" s="2416" t="s">
        <v>3667</v>
      </c>
      <c r="G12" s="2416" t="s">
        <v>1550</v>
      </c>
      <c r="H12" s="2416" t="s">
        <v>3306</v>
      </c>
      <c r="I12" s="2416" t="s">
        <v>3668</v>
      </c>
      <c r="J12" s="2416" t="s">
        <v>3669</v>
      </c>
      <c r="K12" s="2416" t="s">
        <v>3670</v>
      </c>
      <c r="L12" s="2416" t="s">
        <v>3671</v>
      </c>
      <c r="M12" s="2416" t="s">
        <v>3672</v>
      </c>
      <c r="N12" s="2416" t="s">
        <v>3673</v>
      </c>
      <c r="O12" s="2416" t="s">
        <v>3674</v>
      </c>
      <c r="P12" s="2416" t="s">
        <v>3675</v>
      </c>
      <c r="Q12" s="2416" t="s">
        <v>3676</v>
      </c>
      <c r="R12" s="2416" t="s">
        <v>3677</v>
      </c>
      <c r="S12" s="2416" t="s">
        <v>3678</v>
      </c>
      <c r="T12" s="2416" t="s">
        <v>3679</v>
      </c>
    </row>
    <row r="13" spans="1:20" s="2416" customFormat="1">
      <c r="A13" s="3785">
        <v>1</v>
      </c>
      <c r="B13" s="2416" t="s">
        <v>3680</v>
      </c>
      <c r="C13" s="2416" t="s">
        <v>3492</v>
      </c>
      <c r="D13" s="2416" t="s">
        <v>3681</v>
      </c>
      <c r="E13" s="2416">
        <v>94169.78</v>
      </c>
      <c r="F13" s="2416">
        <v>141254.67000000001</v>
      </c>
      <c r="G13" s="2416">
        <v>1.5</v>
      </c>
      <c r="H13" s="2416" t="s">
        <v>3682</v>
      </c>
      <c r="I13" s="2416" t="s">
        <v>3494</v>
      </c>
      <c r="J13" s="2416" t="s">
        <v>3683</v>
      </c>
      <c r="K13" s="3792">
        <v>45098.000497685185</v>
      </c>
      <c r="L13" s="3792">
        <v>45098.000497685185</v>
      </c>
      <c r="M13" s="2416" t="s">
        <v>3684</v>
      </c>
      <c r="N13" s="2416" t="s">
        <v>3685</v>
      </c>
      <c r="O13" s="2416">
        <v>15396.76</v>
      </c>
      <c r="P13" s="2416">
        <v>3080</v>
      </c>
      <c r="Q13" s="2416" t="s">
        <v>3686</v>
      </c>
      <c r="R13" s="2416">
        <v>15396.76</v>
      </c>
      <c r="S13" s="2416">
        <v>1090</v>
      </c>
      <c r="T13" s="2416">
        <v>0</v>
      </c>
    </row>
    <row r="14" spans="1:20" s="2416" customFormat="1">
      <c r="A14" s="3785">
        <v>2</v>
      </c>
      <c r="B14" s="2416" t="s">
        <v>3687</v>
      </c>
      <c r="C14" s="2416" t="s">
        <v>3493</v>
      </c>
      <c r="D14" s="2416" t="s">
        <v>3681</v>
      </c>
      <c r="E14" s="2416">
        <v>84245.85</v>
      </c>
      <c r="F14" s="2416">
        <v>84245.85</v>
      </c>
      <c r="G14" s="3023" t="s">
        <v>3721</v>
      </c>
      <c r="H14" s="2416" t="s">
        <v>3682</v>
      </c>
      <c r="I14" s="2416" t="s">
        <v>3495</v>
      </c>
      <c r="J14" s="2416" t="s">
        <v>3683</v>
      </c>
      <c r="K14" s="3792">
        <v>44931.000497685185</v>
      </c>
      <c r="L14" s="3792">
        <v>44931.000497685185</v>
      </c>
      <c r="M14" s="2416" t="s">
        <v>3684</v>
      </c>
      <c r="N14" s="2416" t="s">
        <v>3688</v>
      </c>
      <c r="O14" s="2416">
        <v>23049.66</v>
      </c>
      <c r="P14" s="2416">
        <v>4610</v>
      </c>
      <c r="Q14" s="2416" t="s">
        <v>3689</v>
      </c>
      <c r="R14" s="2416">
        <v>23049.66</v>
      </c>
      <c r="S14" s="2416">
        <v>2736</v>
      </c>
      <c r="T14" s="2416">
        <v>0</v>
      </c>
    </row>
    <row r="15" spans="1:20" s="2416" customFormat="1">
      <c r="A15" s="3785">
        <v>3</v>
      </c>
      <c r="B15" s="2416" t="s">
        <v>3448</v>
      </c>
      <c r="C15" s="2416" t="s">
        <v>3690</v>
      </c>
      <c r="D15" s="2416" t="s">
        <v>3681</v>
      </c>
      <c r="E15" s="2416">
        <v>40217.370000000003</v>
      </c>
      <c r="F15" s="2416">
        <v>60326.05</v>
      </c>
      <c r="G15" s="2416" t="s">
        <v>3691</v>
      </c>
      <c r="H15" s="2416" t="s">
        <v>3682</v>
      </c>
      <c r="I15" s="2416" t="s">
        <v>3692</v>
      </c>
      <c r="J15" s="2416" t="s">
        <v>3683</v>
      </c>
      <c r="K15" s="3792">
        <v>44832.000497685185</v>
      </c>
      <c r="L15" s="3792">
        <v>44832.000497685185</v>
      </c>
      <c r="M15" s="2416" t="s">
        <v>3684</v>
      </c>
      <c r="N15" s="2416" t="s">
        <v>3693</v>
      </c>
      <c r="O15" s="2416">
        <v>4964.83</v>
      </c>
      <c r="P15" s="2416">
        <v>1000</v>
      </c>
      <c r="Q15" s="2416" t="s">
        <v>3694</v>
      </c>
      <c r="R15" s="2416">
        <v>4964.83</v>
      </c>
      <c r="S15" s="2416">
        <v>823</v>
      </c>
      <c r="T15" s="2416">
        <v>0</v>
      </c>
    </row>
    <row r="16" spans="1:20" s="2416" customFormat="1">
      <c r="A16" s="3785">
        <v>4</v>
      </c>
      <c r="B16" s="2416" t="s">
        <v>3695</v>
      </c>
      <c r="C16" s="2416" t="s">
        <v>3696</v>
      </c>
      <c r="D16" s="2416" t="s">
        <v>3681</v>
      </c>
      <c r="E16" s="2416">
        <v>26650.41</v>
      </c>
      <c r="F16" s="2416">
        <v>39975.61</v>
      </c>
      <c r="G16" s="2416" t="s">
        <v>3691</v>
      </c>
      <c r="H16" s="2416" t="s">
        <v>3682</v>
      </c>
      <c r="I16" s="2416" t="s">
        <v>3692</v>
      </c>
      <c r="J16" s="2416" t="s">
        <v>3683</v>
      </c>
      <c r="K16" s="3792">
        <v>44760.000497685185</v>
      </c>
      <c r="L16" s="3792">
        <v>44760.000497685185</v>
      </c>
      <c r="M16" s="2416" t="s">
        <v>3684</v>
      </c>
      <c r="N16" s="2416" t="s">
        <v>3697</v>
      </c>
      <c r="O16" s="2416">
        <v>3258.01</v>
      </c>
      <c r="P16" s="2416">
        <v>650</v>
      </c>
      <c r="Q16" s="2416" t="s">
        <v>3698</v>
      </c>
      <c r="R16" s="2416">
        <v>3258.01</v>
      </c>
      <c r="S16" s="2416">
        <v>815</v>
      </c>
      <c r="T16" s="2416">
        <v>0</v>
      </c>
    </row>
    <row r="17" spans="1:20" s="2416" customFormat="1">
      <c r="A17" s="3785">
        <v>5</v>
      </c>
      <c r="B17" s="2416" t="s">
        <v>3699</v>
      </c>
      <c r="C17" s="2416" t="s">
        <v>3700</v>
      </c>
      <c r="D17" s="2416" t="s">
        <v>3681</v>
      </c>
      <c r="E17" s="2416">
        <v>77481.740000000005</v>
      </c>
      <c r="F17" s="2416">
        <v>100726.26</v>
      </c>
      <c r="G17" s="2416" t="s">
        <v>3701</v>
      </c>
      <c r="H17" s="2416" t="s">
        <v>3682</v>
      </c>
      <c r="I17" s="2416" t="s">
        <v>3692</v>
      </c>
      <c r="J17" s="2416" t="s">
        <v>3683</v>
      </c>
      <c r="K17" s="3792">
        <v>44760.000497685185</v>
      </c>
      <c r="L17" s="3792">
        <v>44760.000497685185</v>
      </c>
      <c r="M17" s="2416" t="s">
        <v>3684</v>
      </c>
      <c r="N17" s="2416" t="s">
        <v>3702</v>
      </c>
      <c r="O17" s="2416">
        <v>8098.39</v>
      </c>
      <c r="P17" s="2416">
        <v>1600</v>
      </c>
      <c r="Q17" s="2416" t="s">
        <v>3698</v>
      </c>
      <c r="R17" s="2416">
        <v>8098.39</v>
      </c>
      <c r="S17" s="2416">
        <v>804</v>
      </c>
      <c r="T17" s="2416">
        <v>0</v>
      </c>
    </row>
    <row r="18" spans="1:20" s="2416" customFormat="1">
      <c r="A18" s="3785">
        <v>6</v>
      </c>
      <c r="B18" s="2416" t="s">
        <v>3703</v>
      </c>
      <c r="C18" s="2416" t="s">
        <v>3704</v>
      </c>
      <c r="D18" s="2416" t="s">
        <v>3681</v>
      </c>
      <c r="E18" s="2416">
        <v>65024.44</v>
      </c>
      <c r="F18" s="2416">
        <v>97536.66</v>
      </c>
      <c r="G18" s="2416" t="s">
        <v>3691</v>
      </c>
      <c r="H18" s="2416" t="s">
        <v>3682</v>
      </c>
      <c r="I18" s="2416" t="s">
        <v>3692</v>
      </c>
      <c r="J18" s="2416" t="s">
        <v>3683</v>
      </c>
      <c r="K18" s="3792">
        <v>44761.000497685185</v>
      </c>
      <c r="L18" s="3792">
        <v>44761.000497685185</v>
      </c>
      <c r="M18" s="2416" t="s">
        <v>3684</v>
      </c>
      <c r="N18" s="2416" t="s">
        <v>3705</v>
      </c>
      <c r="O18" s="2416">
        <v>8017.51</v>
      </c>
      <c r="P18" s="2416">
        <v>1600</v>
      </c>
      <c r="Q18" s="2416" t="s">
        <v>3698</v>
      </c>
      <c r="R18" s="2416">
        <v>8017.51</v>
      </c>
      <c r="S18" s="2416">
        <v>822</v>
      </c>
      <c r="T18" s="2416">
        <v>0</v>
      </c>
    </row>
    <row r="19" spans="1:20" s="2416" customFormat="1">
      <c r="A19" s="3785">
        <v>7</v>
      </c>
      <c r="B19" s="2416" t="s">
        <v>3706</v>
      </c>
      <c r="C19" s="2416" t="s">
        <v>3707</v>
      </c>
      <c r="D19" s="2416" t="s">
        <v>3681</v>
      </c>
      <c r="E19" s="2416">
        <v>13991.5</v>
      </c>
      <c r="F19" s="2416">
        <v>22386</v>
      </c>
      <c r="G19" s="2416" t="s">
        <v>3708</v>
      </c>
      <c r="H19" s="2416" t="s">
        <v>3682</v>
      </c>
      <c r="I19" s="2416" t="s">
        <v>3692</v>
      </c>
      <c r="J19" s="2416" t="s">
        <v>3683</v>
      </c>
      <c r="K19" s="3792">
        <v>44446.000497685185</v>
      </c>
      <c r="L19" s="3792">
        <v>44446.000497685185</v>
      </c>
      <c r="M19" s="2416" t="s">
        <v>3684</v>
      </c>
      <c r="N19" s="2416" t="s">
        <v>3709</v>
      </c>
      <c r="O19" s="2416">
        <v>1811.03</v>
      </c>
      <c r="P19" s="2416">
        <v>360</v>
      </c>
      <c r="Q19" s="2416" t="s">
        <v>2095</v>
      </c>
      <c r="R19" s="2416">
        <v>1811.03</v>
      </c>
      <c r="S19" s="2416">
        <v>809</v>
      </c>
      <c r="T19" s="2416">
        <v>0</v>
      </c>
    </row>
    <row r="20" spans="1:20" s="2416" customFormat="1">
      <c r="A20" s="3785">
        <v>8</v>
      </c>
      <c r="B20" s="2416" t="s">
        <v>3710</v>
      </c>
      <c r="C20" s="2416" t="s">
        <v>3711</v>
      </c>
      <c r="D20" s="2416" t="s">
        <v>3681</v>
      </c>
      <c r="E20" s="2416">
        <v>16627.21</v>
      </c>
      <c r="F20" s="2416">
        <v>29928.97</v>
      </c>
      <c r="G20" s="2416" t="s">
        <v>3712</v>
      </c>
      <c r="H20" s="2416" t="s">
        <v>3682</v>
      </c>
      <c r="I20" s="2416" t="s">
        <v>3692</v>
      </c>
      <c r="J20" s="2416" t="s">
        <v>3683</v>
      </c>
      <c r="K20" s="3792">
        <v>44446.000497685185</v>
      </c>
      <c r="L20" s="3792">
        <v>44446.000497685185</v>
      </c>
      <c r="M20" s="2416" t="s">
        <v>3684</v>
      </c>
      <c r="N20" s="2416" t="s">
        <v>3713</v>
      </c>
      <c r="O20" s="2416">
        <v>5111.87</v>
      </c>
      <c r="P20" s="2416">
        <v>1020</v>
      </c>
      <c r="Q20" s="2416" t="s">
        <v>2095</v>
      </c>
      <c r="R20" s="2416">
        <v>5111.87</v>
      </c>
      <c r="S20" s="2416">
        <v>1708</v>
      </c>
      <c r="T20" s="2416">
        <v>0</v>
      </c>
    </row>
    <row r="21" spans="1:20" s="2416" customFormat="1">
      <c r="A21" s="3785">
        <v>9</v>
      </c>
      <c r="B21" s="2416" t="s">
        <v>3714</v>
      </c>
      <c r="C21" s="2416" t="s">
        <v>3715</v>
      </c>
      <c r="D21" s="2416" t="s">
        <v>3681</v>
      </c>
      <c r="E21" s="2416">
        <v>100000</v>
      </c>
      <c r="F21" s="2416">
        <v>200000</v>
      </c>
      <c r="G21" s="3023" t="s">
        <v>3722</v>
      </c>
      <c r="H21" s="2416" t="s">
        <v>3682</v>
      </c>
      <c r="I21" s="2416" t="s">
        <v>3716</v>
      </c>
      <c r="J21" s="2416" t="s">
        <v>3683</v>
      </c>
      <c r="K21" s="3792">
        <v>44307.000497685185</v>
      </c>
      <c r="L21" s="3792">
        <v>44307.000497685185</v>
      </c>
      <c r="M21" s="2416" t="s">
        <v>3684</v>
      </c>
      <c r="N21" s="2416" t="s">
        <v>3717</v>
      </c>
      <c r="O21" s="2416">
        <v>13020</v>
      </c>
      <c r="P21" s="2416">
        <v>2600</v>
      </c>
      <c r="Q21" s="2416" t="s">
        <v>2095</v>
      </c>
      <c r="R21" s="2416">
        <v>13020</v>
      </c>
      <c r="S21" s="2416">
        <v>651</v>
      </c>
      <c r="T21" s="2416">
        <v>0</v>
      </c>
    </row>
  </sheetData>
  <phoneticPr fontId="22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43A4-4B93-45FC-82D1-0BB3105F9A76}">
  <dimension ref="A1:M25"/>
  <sheetViews>
    <sheetView workbookViewId="0">
      <selection sqref="A1:M10"/>
    </sheetView>
  </sheetViews>
  <sheetFormatPr defaultRowHeight="13.5"/>
  <cols>
    <col min="1" max="1" width="4.625" customWidth="1"/>
    <col min="2" max="2" width="33.75" customWidth="1"/>
    <col min="9" max="9" width="9.75" bestFit="1" customWidth="1"/>
    <col min="10" max="10" width="9.625" customWidth="1"/>
  </cols>
  <sheetData>
    <row r="1" spans="1:13" ht="24.75" customHeight="1">
      <c r="A1" s="4212" t="s">
        <v>1729</v>
      </c>
      <c r="B1" s="4212" t="s">
        <v>1548</v>
      </c>
      <c r="C1" s="4212" t="s">
        <v>3456</v>
      </c>
      <c r="D1" s="4212" t="s">
        <v>3768</v>
      </c>
      <c r="E1" s="4212" t="s">
        <v>1550</v>
      </c>
      <c r="F1" s="4212" t="s">
        <v>3441</v>
      </c>
      <c r="G1" s="4212" t="s">
        <v>3442</v>
      </c>
      <c r="H1" s="4212" t="s">
        <v>3443</v>
      </c>
      <c r="I1" s="4213" t="s">
        <v>3787</v>
      </c>
      <c r="J1" s="4213"/>
      <c r="K1" s="4212" t="s">
        <v>3465</v>
      </c>
      <c r="L1" s="4212" t="s">
        <v>2762</v>
      </c>
      <c r="M1" s="4212" t="s">
        <v>3790</v>
      </c>
    </row>
    <row r="2" spans="1:13" ht="25.5" customHeight="1">
      <c r="A2" s="4212"/>
      <c r="B2" s="4212"/>
      <c r="C2" s="4212"/>
      <c r="D2" s="4212"/>
      <c r="E2" s="4212"/>
      <c r="F2" s="4212"/>
      <c r="G2" s="4212"/>
      <c r="H2" s="4212"/>
      <c r="I2" s="3840" t="s">
        <v>3789</v>
      </c>
      <c r="J2" s="3840" t="s">
        <v>3788</v>
      </c>
      <c r="K2" s="4212"/>
      <c r="L2" s="4212"/>
      <c r="M2" s="4212"/>
    </row>
    <row r="3" spans="1:13" ht="26.25">
      <c r="A3" s="3841">
        <v>1</v>
      </c>
      <c r="B3" s="3840" t="s">
        <v>3769</v>
      </c>
      <c r="C3" s="3841">
        <v>94169.78</v>
      </c>
      <c r="D3" s="3841">
        <v>141254.70000000001</v>
      </c>
      <c r="E3" s="3841">
        <v>1.5</v>
      </c>
      <c r="F3" s="3840" t="s">
        <v>3770</v>
      </c>
      <c r="G3" s="3843">
        <v>45098</v>
      </c>
      <c r="H3" s="3841">
        <v>15396.76</v>
      </c>
      <c r="I3" s="3842">
        <f>ROUND(H3*10000/C3,0)</f>
        <v>1635</v>
      </c>
      <c r="J3" s="3842">
        <f>ROUND(I3*M14,0)</f>
        <v>1642</v>
      </c>
      <c r="K3" s="3841" t="s">
        <v>3771</v>
      </c>
      <c r="L3" s="3840" t="s">
        <v>2763</v>
      </c>
      <c r="M3" s="3840" t="s">
        <v>3500</v>
      </c>
    </row>
    <row r="4" spans="1:13" ht="39.75">
      <c r="A4" s="3841">
        <v>2</v>
      </c>
      <c r="B4" s="3840" t="s">
        <v>3772</v>
      </c>
      <c r="C4" s="3841">
        <v>84245.85</v>
      </c>
      <c r="D4" s="3841">
        <v>84245.85</v>
      </c>
      <c r="E4" s="3840" t="s">
        <v>3773</v>
      </c>
      <c r="F4" s="3841" t="s">
        <v>3774</v>
      </c>
      <c r="G4" s="3843">
        <v>44931</v>
      </c>
      <c r="H4" s="3841">
        <v>23049.66</v>
      </c>
      <c r="I4" s="3842">
        <f t="shared" ref="I4:I10" si="0">ROUND(H4*10000/C4,0)</f>
        <v>2736</v>
      </c>
      <c r="J4" s="3842">
        <f>ROUND(I4*M15*M14,0)</f>
        <v>2767</v>
      </c>
      <c r="K4" s="3841" t="s">
        <v>3775</v>
      </c>
      <c r="L4" s="3840" t="s">
        <v>1154</v>
      </c>
      <c r="M4" s="3840" t="s">
        <v>3502</v>
      </c>
    </row>
    <row r="5" spans="1:13" ht="27">
      <c r="A5" s="3841">
        <v>3</v>
      </c>
      <c r="B5" s="3840" t="s">
        <v>3776</v>
      </c>
      <c r="C5" s="3841">
        <v>100000</v>
      </c>
      <c r="D5" s="3841">
        <v>200000</v>
      </c>
      <c r="E5" s="3840" t="s">
        <v>3777</v>
      </c>
      <c r="F5" s="3841" t="s">
        <v>3778</v>
      </c>
      <c r="G5" s="3843">
        <v>44307</v>
      </c>
      <c r="H5" s="3841">
        <v>13020</v>
      </c>
      <c r="I5" s="3842">
        <f t="shared" si="0"/>
        <v>1302</v>
      </c>
      <c r="J5" s="3842">
        <f>ROUND(I5*M16*M15*M14*M17*M18,0)</f>
        <v>1339</v>
      </c>
      <c r="K5" s="3841" t="s">
        <v>3775</v>
      </c>
      <c r="L5" s="3840" t="s">
        <v>1156</v>
      </c>
      <c r="M5" s="3840" t="s">
        <v>3502</v>
      </c>
    </row>
    <row r="6" spans="1:13" ht="27">
      <c r="A6" s="3841">
        <v>4</v>
      </c>
      <c r="B6" s="3840" t="s">
        <v>3779</v>
      </c>
      <c r="C6" s="3841">
        <v>13991.5</v>
      </c>
      <c r="D6" s="3841">
        <v>22386</v>
      </c>
      <c r="E6" s="3840" t="s">
        <v>3780</v>
      </c>
      <c r="F6" s="3841" t="s">
        <v>3778</v>
      </c>
      <c r="G6" s="3843">
        <v>44446</v>
      </c>
      <c r="H6" s="3841">
        <v>1811.03</v>
      </c>
      <c r="I6" s="3842">
        <f>ROUND(H6*10000/C6,0)</f>
        <v>1294</v>
      </c>
      <c r="J6" s="3842">
        <f>ROUND(I6*M17*M16*M15*M14*M18*M19*M20*M21,0)</f>
        <v>1361</v>
      </c>
      <c r="K6" s="3841" t="s">
        <v>3775</v>
      </c>
      <c r="L6" s="3840" t="s">
        <v>1155</v>
      </c>
      <c r="M6" s="3840" t="s">
        <v>3505</v>
      </c>
    </row>
    <row r="7" spans="1:13" ht="26.25">
      <c r="A7" s="3841">
        <v>5</v>
      </c>
      <c r="B7" s="3840" t="s">
        <v>3781</v>
      </c>
      <c r="C7" s="3841">
        <v>77481.740000000005</v>
      </c>
      <c r="D7" s="3841">
        <v>100726.3</v>
      </c>
      <c r="E7" s="3840" t="s">
        <v>3782</v>
      </c>
      <c r="F7" s="3841" t="s">
        <v>3778</v>
      </c>
      <c r="G7" s="3843">
        <v>44760</v>
      </c>
      <c r="H7" s="3841">
        <v>8098.39</v>
      </c>
      <c r="I7" s="3842">
        <f t="shared" si="0"/>
        <v>1045</v>
      </c>
      <c r="J7" s="3842">
        <f>ROUND(I7*M17*M16*M15*M14,0)</f>
        <v>1068</v>
      </c>
      <c r="K7" s="3841" t="s">
        <v>3775</v>
      </c>
      <c r="L7" s="3840" t="s">
        <v>1156</v>
      </c>
      <c r="M7" s="3840" t="s">
        <v>3508</v>
      </c>
    </row>
    <row r="8" spans="1:13" ht="53.25">
      <c r="A8" s="3841">
        <v>6</v>
      </c>
      <c r="B8" s="3840" t="s">
        <v>3783</v>
      </c>
      <c r="C8" s="3841">
        <v>65024.44</v>
      </c>
      <c r="D8" s="3841">
        <v>97536.66</v>
      </c>
      <c r="E8" s="3840" t="s">
        <v>3784</v>
      </c>
      <c r="F8" s="3841" t="s">
        <v>3778</v>
      </c>
      <c r="G8" s="3843">
        <v>44760</v>
      </c>
      <c r="H8" s="3841">
        <v>8017.51</v>
      </c>
      <c r="I8" s="3842">
        <f t="shared" si="0"/>
        <v>1233</v>
      </c>
      <c r="J8" s="3842">
        <f>ROUND(I8*M17*M16*M15*M14,0)</f>
        <v>1260</v>
      </c>
      <c r="K8" s="3841" t="s">
        <v>3775</v>
      </c>
      <c r="L8" s="3840" t="s">
        <v>1156</v>
      </c>
      <c r="M8" s="3840" t="s">
        <v>3500</v>
      </c>
    </row>
    <row r="9" spans="1:13" ht="39.75">
      <c r="A9" s="3841">
        <v>7</v>
      </c>
      <c r="B9" s="3840" t="s">
        <v>3785</v>
      </c>
      <c r="C9" s="3841">
        <v>26650.41</v>
      </c>
      <c r="D9" s="3841">
        <v>39975.61</v>
      </c>
      <c r="E9" s="3840" t="s">
        <v>3784</v>
      </c>
      <c r="F9" s="3841" t="s">
        <v>3778</v>
      </c>
      <c r="G9" s="3843">
        <v>44760</v>
      </c>
      <c r="H9" s="3841">
        <v>3258.01</v>
      </c>
      <c r="I9" s="3842">
        <f t="shared" si="0"/>
        <v>1222</v>
      </c>
      <c r="J9" s="3842">
        <f>ROUND(I9*M17*M16*M15*M14,0)</f>
        <v>1249</v>
      </c>
      <c r="K9" s="3841" t="s">
        <v>3775</v>
      </c>
      <c r="L9" s="3840" t="s">
        <v>1156</v>
      </c>
      <c r="M9" s="3840" t="s">
        <v>3500</v>
      </c>
    </row>
    <row r="10" spans="1:13" ht="53.25">
      <c r="A10" s="3841">
        <v>8</v>
      </c>
      <c r="B10" s="3840" t="s">
        <v>3786</v>
      </c>
      <c r="C10" s="3841">
        <v>40217.370000000003</v>
      </c>
      <c r="D10" s="3841">
        <v>60326.05</v>
      </c>
      <c r="E10" s="3840" t="s">
        <v>3784</v>
      </c>
      <c r="F10" s="3841" t="s">
        <v>3778</v>
      </c>
      <c r="G10" s="3843">
        <v>44832</v>
      </c>
      <c r="H10" s="3841">
        <v>4964.83</v>
      </c>
      <c r="I10" s="3842">
        <f t="shared" si="0"/>
        <v>1234</v>
      </c>
      <c r="J10" s="3842">
        <f>ROUND(I10*M17*M16*M15*M14,0)</f>
        <v>1261</v>
      </c>
      <c r="K10" s="3841" t="s">
        <v>3775</v>
      </c>
      <c r="L10" s="3840" t="s">
        <v>1156</v>
      </c>
      <c r="M10" s="3840" t="s">
        <v>3502</v>
      </c>
    </row>
    <row r="14" spans="1:13">
      <c r="K14" s="3335" t="s">
        <v>3250</v>
      </c>
      <c r="L14" s="3395">
        <f>'地价-分区'!H6</f>
        <v>0.43</v>
      </c>
      <c r="M14" s="3844">
        <f>L14/100+1</f>
        <v>1.0043</v>
      </c>
    </row>
    <row r="15" spans="1:13">
      <c r="K15" s="3336" t="s">
        <v>3255</v>
      </c>
      <c r="L15" s="3395">
        <f>'地价-分区'!H7</f>
        <v>0.71</v>
      </c>
      <c r="M15">
        <f>L15/100+1</f>
        <v>1.0071000000000001</v>
      </c>
    </row>
    <row r="16" spans="1:13">
      <c r="K16" s="3335" t="s">
        <v>2447</v>
      </c>
      <c r="L16" s="3395">
        <f>'地价-分区'!H8</f>
        <v>0.5</v>
      </c>
      <c r="M16">
        <f t="shared" ref="M16:M24" si="1">L16/100+1</f>
        <v>1.0049999999999999</v>
      </c>
    </row>
    <row r="17" spans="11:13">
      <c r="K17" s="3335" t="s">
        <v>2446</v>
      </c>
      <c r="L17" s="3395">
        <f>'地价-分区'!H9</f>
        <v>0.53</v>
      </c>
      <c r="M17">
        <f t="shared" si="1"/>
        <v>1.0053000000000001</v>
      </c>
    </row>
    <row r="18" spans="11:13">
      <c r="K18" s="3335" t="s">
        <v>2445</v>
      </c>
      <c r="L18" s="3395">
        <f>'地价-分区'!H10</f>
        <v>0.63</v>
      </c>
      <c r="M18">
        <f t="shared" si="1"/>
        <v>1.0063</v>
      </c>
    </row>
    <row r="19" spans="11:13">
      <c r="K19" s="3335" t="s">
        <v>2444</v>
      </c>
      <c r="L19" s="3395">
        <f>'地价-分区'!H11</f>
        <v>1.08</v>
      </c>
      <c r="M19">
        <f t="shared" si="1"/>
        <v>1.0107999999999999</v>
      </c>
    </row>
    <row r="20" spans="11:13">
      <c r="K20" s="3335" t="s">
        <v>2443</v>
      </c>
      <c r="L20" s="3395">
        <f>'地价-分区'!H12</f>
        <v>0.64</v>
      </c>
      <c r="M20">
        <f t="shared" si="1"/>
        <v>1.0064</v>
      </c>
    </row>
    <row r="21" spans="11:13">
      <c r="K21" s="3335" t="s">
        <v>2292</v>
      </c>
      <c r="L21" s="3395">
        <f>'地价-分区'!H13</f>
        <v>0.55000000000000004</v>
      </c>
      <c r="M21">
        <f t="shared" si="1"/>
        <v>1.0055000000000001</v>
      </c>
    </row>
    <row r="22" spans="11:13">
      <c r="K22" s="3335" t="s">
        <v>2291</v>
      </c>
      <c r="L22" s="3395">
        <f>'地价-分区'!H14</f>
        <v>0.48</v>
      </c>
      <c r="M22">
        <f t="shared" si="1"/>
        <v>1.0047999999999999</v>
      </c>
    </row>
    <row r="23" spans="11:13">
      <c r="K23" s="3335" t="s">
        <v>2290</v>
      </c>
      <c r="L23" s="3395">
        <f>'地价-分区'!H15</f>
        <v>1.01</v>
      </c>
      <c r="M23">
        <f t="shared" si="1"/>
        <v>1.0101</v>
      </c>
    </row>
    <row r="24" spans="11:13" ht="14.25" thickBot="1">
      <c r="K24" s="3337" t="s">
        <v>2289</v>
      </c>
      <c r="L24" s="3395">
        <f>'地价-分区'!H16</f>
        <v>0.36</v>
      </c>
      <c r="M24">
        <f t="shared" si="1"/>
        <v>1.0036</v>
      </c>
    </row>
    <row r="25" spans="11:13" ht="14.25" thickTop="1"/>
  </sheetData>
  <mergeCells count="12">
    <mergeCell ref="K1:K2"/>
    <mergeCell ref="L1:L2"/>
    <mergeCell ref="M1:M2"/>
    <mergeCell ref="I1:J1"/>
    <mergeCell ref="A1:A2"/>
    <mergeCell ref="B1:B2"/>
    <mergeCell ref="C1:C2"/>
    <mergeCell ref="D1:D2"/>
    <mergeCell ref="E1:E2"/>
    <mergeCell ref="F1:F2"/>
    <mergeCell ref="G1:G2"/>
    <mergeCell ref="H1:H2"/>
  </mergeCells>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AC0C-DF76-4946-BDDC-23249872EC3C}">
  <dimension ref="A1:L14"/>
  <sheetViews>
    <sheetView workbookViewId="0">
      <selection activeCell="G18" sqref="G18"/>
    </sheetView>
  </sheetViews>
  <sheetFormatPr defaultRowHeight="13.5"/>
  <cols>
    <col min="1" max="1" width="5.5" customWidth="1"/>
    <col min="2" max="2" width="31.5" customWidth="1"/>
    <col min="4" max="4" width="17.25" customWidth="1"/>
    <col min="10" max="10" width="14" customWidth="1"/>
  </cols>
  <sheetData>
    <row r="1" spans="1:12" ht="27">
      <c r="A1" s="3819" t="s">
        <v>3289</v>
      </c>
      <c r="B1" s="3819" t="s">
        <v>3749</v>
      </c>
      <c r="C1" s="3819" t="s">
        <v>3750</v>
      </c>
      <c r="D1" s="3819" t="s">
        <v>3743</v>
      </c>
      <c r="E1" s="3819" t="s">
        <v>3744</v>
      </c>
      <c r="F1" s="3819" t="s">
        <v>2717</v>
      </c>
      <c r="G1" s="3819" t="s">
        <v>3741</v>
      </c>
      <c r="H1" s="3819" t="s">
        <v>3748</v>
      </c>
      <c r="I1" s="3819" t="s">
        <v>3747</v>
      </c>
      <c r="J1" s="3819" t="s">
        <v>3742</v>
      </c>
      <c r="K1" s="3819" t="s">
        <v>3746</v>
      </c>
      <c r="L1" s="3706"/>
    </row>
    <row r="2" spans="1:12" ht="27">
      <c r="A2" s="3820">
        <v>1</v>
      </c>
      <c r="B2" s="3820" t="s">
        <v>3727</v>
      </c>
      <c r="C2" s="3820" t="s">
        <v>3728</v>
      </c>
      <c r="D2" s="3821">
        <v>44136</v>
      </c>
      <c r="E2" s="3820" t="s">
        <v>3261</v>
      </c>
      <c r="F2" s="3820" t="s">
        <v>905</v>
      </c>
      <c r="G2" s="3820">
        <v>1</v>
      </c>
      <c r="H2" s="3820">
        <v>1280.1199999999999</v>
      </c>
      <c r="I2" s="3820">
        <v>676.3</v>
      </c>
      <c r="J2" s="3820">
        <v>5102</v>
      </c>
      <c r="K2" s="3820">
        <v>11391</v>
      </c>
      <c r="L2" s="3706"/>
    </row>
    <row r="3" spans="1:12" ht="27">
      <c r="A3" s="3820">
        <v>2</v>
      </c>
      <c r="B3" s="3820" t="s">
        <v>3730</v>
      </c>
      <c r="C3" s="3820" t="s">
        <v>3731</v>
      </c>
      <c r="D3" s="3820">
        <v>2019.9</v>
      </c>
      <c r="E3" s="3820" t="s">
        <v>2742</v>
      </c>
      <c r="F3" s="3820" t="s">
        <v>905</v>
      </c>
      <c r="G3" s="3820">
        <v>1</v>
      </c>
      <c r="H3" s="3820">
        <v>51695.88</v>
      </c>
      <c r="I3" s="3820">
        <v>37934.97</v>
      </c>
      <c r="J3" s="3820">
        <v>4553</v>
      </c>
      <c r="K3" s="3820">
        <v>6053</v>
      </c>
      <c r="L3" s="3706"/>
    </row>
    <row r="4" spans="1:12" ht="27">
      <c r="A4" s="3820">
        <v>3</v>
      </c>
      <c r="B4" s="3820" t="s">
        <v>3730</v>
      </c>
      <c r="C4" s="3820" t="s">
        <v>3731</v>
      </c>
      <c r="D4" s="3820">
        <v>2019.9</v>
      </c>
      <c r="E4" s="3820" t="s">
        <v>2742</v>
      </c>
      <c r="F4" s="3820" t="s">
        <v>905</v>
      </c>
      <c r="G4" s="3820">
        <v>1</v>
      </c>
      <c r="H4" s="3820">
        <v>73055.86</v>
      </c>
      <c r="I4" s="3820">
        <v>28939.34</v>
      </c>
      <c r="J4" s="3820">
        <v>4554</v>
      </c>
      <c r="K4" s="3820">
        <v>6225</v>
      </c>
      <c r="L4" s="3706"/>
    </row>
    <row r="5" spans="1:12">
      <c r="A5" s="3820">
        <v>4</v>
      </c>
      <c r="B5" s="3820" t="s">
        <v>3733</v>
      </c>
      <c r="C5" s="3820" t="s">
        <v>3731</v>
      </c>
      <c r="D5" s="3820" t="s">
        <v>3734</v>
      </c>
      <c r="E5" s="3820" t="s">
        <v>2742</v>
      </c>
      <c r="F5" s="3820" t="s">
        <v>905</v>
      </c>
      <c r="G5" s="3820">
        <v>1</v>
      </c>
      <c r="H5" s="3820">
        <v>1006.47</v>
      </c>
      <c r="I5" s="3820"/>
      <c r="J5" s="3820">
        <v>4482</v>
      </c>
      <c r="K5" s="3820">
        <v>4482</v>
      </c>
      <c r="L5" s="3706"/>
    </row>
    <row r="6" spans="1:12">
      <c r="A6" s="3820">
        <v>5</v>
      </c>
      <c r="B6" s="3819" t="s">
        <v>3760</v>
      </c>
      <c r="C6" s="3820" t="s">
        <v>3731</v>
      </c>
      <c r="D6" s="3821">
        <v>43540</v>
      </c>
      <c r="E6" s="3820" t="s">
        <v>3261</v>
      </c>
      <c r="F6" s="3820" t="s">
        <v>905</v>
      </c>
      <c r="G6" s="3820">
        <v>1</v>
      </c>
      <c r="H6" s="3820">
        <v>2786.4</v>
      </c>
      <c r="I6" s="3820">
        <v>218.75</v>
      </c>
      <c r="J6" s="3820">
        <v>4482</v>
      </c>
      <c r="K6" s="3820">
        <v>4482</v>
      </c>
      <c r="L6" s="3706"/>
    </row>
    <row r="7" spans="1:12">
      <c r="A7" s="3820">
        <v>6</v>
      </c>
      <c r="B7" s="3820" t="s">
        <v>3735</v>
      </c>
      <c r="C7" s="3820" t="s">
        <v>3731</v>
      </c>
      <c r="D7" s="3820" t="s">
        <v>3734</v>
      </c>
      <c r="E7" s="3820" t="s">
        <v>2742</v>
      </c>
      <c r="F7" s="3820" t="s">
        <v>905</v>
      </c>
      <c r="G7" s="3820">
        <v>1</v>
      </c>
      <c r="H7" s="3820">
        <v>2686.44</v>
      </c>
      <c r="I7" s="3820">
        <v>71.849999999999994</v>
      </c>
      <c r="J7" s="3820">
        <v>4571</v>
      </c>
      <c r="K7" s="3820">
        <v>4571</v>
      </c>
      <c r="L7" s="3706"/>
    </row>
    <row r="8" spans="1:12">
      <c r="A8" s="3820">
        <v>7</v>
      </c>
      <c r="B8" s="3820" t="s">
        <v>3736</v>
      </c>
      <c r="C8" s="3820" t="s">
        <v>3731</v>
      </c>
      <c r="D8" s="3820" t="s">
        <v>3734</v>
      </c>
      <c r="E8" s="3820" t="s">
        <v>3261</v>
      </c>
      <c r="F8" s="3820" t="s">
        <v>905</v>
      </c>
      <c r="G8" s="3820">
        <v>1</v>
      </c>
      <c r="H8" s="3820">
        <v>539.16</v>
      </c>
      <c r="I8" s="3820">
        <v>359.51</v>
      </c>
      <c r="J8" s="3820">
        <v>4529</v>
      </c>
      <c r="K8" s="3820">
        <v>4529</v>
      </c>
      <c r="L8" s="3706"/>
    </row>
    <row r="9" spans="1:12" ht="27">
      <c r="A9" s="3820">
        <v>8</v>
      </c>
      <c r="B9" s="3820" t="s">
        <v>3737</v>
      </c>
      <c r="C9" s="3820" t="s">
        <v>3728</v>
      </c>
      <c r="D9" s="3820">
        <v>2020.5</v>
      </c>
      <c r="E9" s="3820" t="s">
        <v>2742</v>
      </c>
      <c r="F9" s="3820" t="s">
        <v>905</v>
      </c>
      <c r="G9" s="3820">
        <v>1</v>
      </c>
      <c r="H9" s="3820">
        <v>26400</v>
      </c>
      <c r="I9" s="3820">
        <v>20831.54</v>
      </c>
      <c r="J9" s="3819" t="s">
        <v>3767</v>
      </c>
      <c r="K9" s="3820">
        <v>8852</v>
      </c>
      <c r="L9" s="3706"/>
    </row>
    <row r="10" spans="1:12" ht="27">
      <c r="A10" s="3820">
        <v>9</v>
      </c>
      <c r="B10" s="3820" t="s">
        <v>3737</v>
      </c>
      <c r="C10" s="3820" t="s">
        <v>3728</v>
      </c>
      <c r="D10" s="3820">
        <v>2020.4</v>
      </c>
      <c r="E10" s="3820" t="s">
        <v>2742</v>
      </c>
      <c r="F10" s="3820" t="s">
        <v>905</v>
      </c>
      <c r="G10" s="3820">
        <v>1</v>
      </c>
      <c r="H10" s="3820">
        <v>6659.9</v>
      </c>
      <c r="I10" s="3820">
        <v>5017.84</v>
      </c>
      <c r="J10" s="3819" t="s">
        <v>3767</v>
      </c>
      <c r="K10" s="3820">
        <v>9445</v>
      </c>
      <c r="L10" s="3706"/>
    </row>
    <row r="11" spans="1:12" ht="27">
      <c r="A11" s="3820">
        <v>10</v>
      </c>
      <c r="B11" s="3820" t="s">
        <v>3737</v>
      </c>
      <c r="C11" s="3820" t="s">
        <v>3728</v>
      </c>
      <c r="D11" s="3820">
        <v>2020.4</v>
      </c>
      <c r="E11" s="3820" t="s">
        <v>2742</v>
      </c>
      <c r="F11" s="3820" t="s">
        <v>905</v>
      </c>
      <c r="G11" s="3820">
        <v>1</v>
      </c>
      <c r="H11" s="3820">
        <v>5520</v>
      </c>
      <c r="I11" s="3820">
        <v>4540.2700000000004</v>
      </c>
      <c r="J11" s="3819" t="s">
        <v>3767</v>
      </c>
      <c r="K11" s="3820">
        <v>8898</v>
      </c>
      <c r="L11" s="3706"/>
    </row>
    <row r="12" spans="1:12" ht="27">
      <c r="A12" s="3820">
        <v>11</v>
      </c>
      <c r="B12" s="3820" t="s">
        <v>3737</v>
      </c>
      <c r="C12" s="3820" t="s">
        <v>3728</v>
      </c>
      <c r="D12" s="3820">
        <v>2021.9</v>
      </c>
      <c r="E12" s="3820" t="s">
        <v>2742</v>
      </c>
      <c r="F12" s="3820" t="s">
        <v>905</v>
      </c>
      <c r="G12" s="3820">
        <v>1</v>
      </c>
      <c r="H12" s="3820">
        <v>5320</v>
      </c>
      <c r="I12" s="3820">
        <v>4210.51</v>
      </c>
      <c r="J12" s="3819" t="s">
        <v>3767</v>
      </c>
      <c r="K12" s="3820">
        <v>8363</v>
      </c>
      <c r="L12" s="3706"/>
    </row>
    <row r="13" spans="1:12" ht="27">
      <c r="A13" s="3820">
        <v>12</v>
      </c>
      <c r="B13" s="3820" t="s">
        <v>3739</v>
      </c>
      <c r="C13" s="3820" t="s">
        <v>3731</v>
      </c>
      <c r="D13" s="3821">
        <v>43525</v>
      </c>
      <c r="E13" s="3820" t="s">
        <v>3261</v>
      </c>
      <c r="F13" s="3820" t="s">
        <v>905</v>
      </c>
      <c r="G13" s="3820">
        <v>1</v>
      </c>
      <c r="H13" s="3820">
        <v>526.52</v>
      </c>
      <c r="I13" s="3820">
        <v>31.66</v>
      </c>
      <c r="J13" s="3820">
        <v>4571</v>
      </c>
      <c r="K13" s="3820">
        <v>4749</v>
      </c>
      <c r="L13" s="3706"/>
    </row>
    <row r="14" spans="1:12" ht="27">
      <c r="A14" s="3820">
        <v>13</v>
      </c>
      <c r="B14" s="3820" t="s">
        <v>3739</v>
      </c>
      <c r="C14" s="3820" t="s">
        <v>3731</v>
      </c>
      <c r="D14" s="3820">
        <v>2019.3</v>
      </c>
      <c r="E14" s="3820" t="s">
        <v>3261</v>
      </c>
      <c r="F14" s="3820" t="s">
        <v>905</v>
      </c>
      <c r="G14" s="3820">
        <v>1</v>
      </c>
      <c r="H14" s="3820">
        <v>515.41999999999996</v>
      </c>
      <c r="I14" s="3820">
        <v>0</v>
      </c>
      <c r="J14" s="3820">
        <v>4571</v>
      </c>
      <c r="K14" s="3820">
        <v>4691</v>
      </c>
      <c r="L14" s="3706"/>
    </row>
  </sheetData>
  <phoneticPr fontId="2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880" t="s">
        <v>1583</v>
      </c>
      <c r="B1" s="3880"/>
      <c r="C1" s="3880"/>
      <c r="D1" s="3880"/>
    </row>
    <row r="2" spans="1:4" ht="47.25" customHeight="1">
      <c r="A2" s="3884" t="str">
        <f>"1.权利限制："&amp;项目基本情况!L24&amp;"未设定租赁等其他他项权利。"</f>
        <v>1.权利限制：根据估价对象《不动产权证书》原件、《国有土地使用权》复印件，截至估价期日，估价对象抵押权未见登记。未设定租赁等其他他项权利。</v>
      </c>
      <c r="B2" s="3884"/>
      <c r="C2" s="3884"/>
      <c r="D2" s="3884"/>
    </row>
    <row r="3" spans="1:4" ht="48" customHeight="1">
      <c r="A3" s="38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0"/>
      <c r="C3" s="3880"/>
      <c r="D3" s="3880"/>
    </row>
    <row r="4" spans="1:4" ht="36.75" customHeight="1">
      <c r="A4" s="3880" t="str">
        <f>"3.估价规划限制条件：详见"&amp;项目基本情况!E21&amp;"。"</f>
        <v>3.估价规划限制条件：详见《建设工程规划许可证》[]、《出让合同》[]。</v>
      </c>
      <c r="B4" s="3880"/>
      <c r="C4" s="3880"/>
      <c r="D4" s="3880"/>
    </row>
    <row r="5" spans="1:4">
      <c r="A5" s="3883" t="s">
        <v>1584</v>
      </c>
      <c r="B5" s="3883"/>
      <c r="C5" s="3883"/>
      <c r="D5" s="3883"/>
    </row>
    <row r="6" spans="1:4">
      <c r="A6" s="3880" t="s">
        <v>1562</v>
      </c>
      <c r="B6" s="3880"/>
      <c r="C6" s="3880"/>
      <c r="D6" s="3880"/>
    </row>
    <row r="7" spans="1:4" ht="33" customHeight="1">
      <c r="A7" s="3880" t="s">
        <v>1857</v>
      </c>
      <c r="B7" s="3880"/>
      <c r="C7" s="3880"/>
      <c r="D7" s="3880"/>
    </row>
    <row r="8" spans="1:4" ht="32.25" customHeight="1">
      <c r="A8" s="38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80"/>
      <c r="C8" s="3880"/>
      <c r="D8" s="3880"/>
    </row>
    <row r="9" spans="1:4" ht="33.75" customHeight="1">
      <c r="A9" s="3880" t="str">
        <f>IF(项目基本情况!B8="抵押","3.抵押双方在办理抵押登记手续时，应使用本公司出具的正式《土地估价报告》，特提请报告使用者注意。","——")</f>
        <v>——</v>
      </c>
      <c r="B9" s="3880"/>
      <c r="C9" s="3880"/>
      <c r="D9" s="3880"/>
    </row>
    <row r="10" spans="1:4">
      <c r="A10" s="3880" t="str">
        <f>IF(项目基本情况!B8="抵押","4.估价师所知悉的法定优先受偿款情况为：","——")</f>
        <v>——</v>
      </c>
      <c r="B10" s="3880"/>
      <c r="C10" s="3880"/>
      <c r="D10" s="3880"/>
    </row>
    <row r="11" spans="1:4" ht="37.5" customHeight="1">
      <c r="A11" s="3882" t="str">
        <f>IF(项目基本情况!B8="抵押","（1）"&amp;CONCATENATE(项目基本情况!L24,项目基本情况!L25,项目基本情况!L26),"——")</f>
        <v>——</v>
      </c>
      <c r="B11" s="3882"/>
      <c r="C11" s="3882"/>
      <c r="D11" s="3882"/>
    </row>
    <row r="12" spans="1:4" ht="168" customHeight="1">
      <c r="A12" s="3883" t="s">
        <v>1586</v>
      </c>
      <c r="B12" s="3883"/>
      <c r="C12" s="3883"/>
      <c r="D12" s="3883"/>
    </row>
    <row r="13" spans="1:4">
      <c r="A13" s="3881" t="s">
        <v>2028</v>
      </c>
      <c r="B13" s="3881"/>
      <c r="C13" s="3881"/>
      <c r="D13" s="3881"/>
    </row>
    <row r="14" spans="1:4">
      <c r="A14" s="3882" t="str">
        <f>IF(项目基本情况!B8="抵押","综上，"&amp;结果表!K47,"——")</f>
        <v>——</v>
      </c>
      <c r="B14" s="3882"/>
      <c r="C14" s="3882"/>
      <c r="D14" s="3882"/>
    </row>
    <row r="15" spans="1:4" ht="58.5" customHeight="1">
      <c r="A15" s="38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0"/>
      <c r="C15" s="3880"/>
      <c r="D15" s="3880"/>
    </row>
    <row r="16" spans="1:4" ht="70.5" customHeight="1">
      <c r="A16" s="38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0"/>
      <c r="C16" s="3880"/>
      <c r="D16" s="3880"/>
    </row>
    <row r="17" spans="1:4">
      <c r="A17" s="3880" t="s">
        <v>1984</v>
      </c>
      <c r="B17" s="3880"/>
      <c r="C17" s="3880"/>
      <c r="D17" s="3880"/>
    </row>
    <row r="18" spans="1:4">
      <c r="A18" s="3880" t="s">
        <v>1976</v>
      </c>
      <c r="B18" s="3880"/>
      <c r="C18" s="3880"/>
      <c r="D18" s="3880"/>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880" t="s">
        <v>1981</v>
      </c>
      <c r="B23" s="3880"/>
      <c r="C23" s="3880"/>
      <c r="D23" s="3880"/>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workbookViewId="0">
      <selection activeCell="C6" sqref="C6"/>
    </sheetView>
  </sheetViews>
  <sheetFormatPr defaultRowHeight="13.5"/>
  <cols>
    <col min="3" max="3" width="32.625" customWidth="1"/>
    <col min="4" max="4" width="13" customWidth="1"/>
    <col min="9" max="9" width="15.875" customWidth="1"/>
  </cols>
  <sheetData>
    <row r="1" spans="1:15" ht="28.5">
      <c r="A1" s="4114" t="s">
        <v>1729</v>
      </c>
      <c r="B1" s="4114" t="s">
        <v>3454</v>
      </c>
      <c r="C1" s="4114" t="s">
        <v>1548</v>
      </c>
      <c r="D1" s="4114" t="s">
        <v>3455</v>
      </c>
      <c r="E1" s="4114" t="s">
        <v>3456</v>
      </c>
      <c r="F1" s="4114" t="s">
        <v>3457</v>
      </c>
      <c r="G1" s="4114" t="s">
        <v>3458</v>
      </c>
      <c r="H1" s="4114" t="s">
        <v>3441</v>
      </c>
      <c r="I1" s="4114" t="s">
        <v>3442</v>
      </c>
      <c r="J1" s="3721" t="s">
        <v>3459</v>
      </c>
      <c r="K1" s="4114" t="s">
        <v>3461</v>
      </c>
      <c r="L1" s="4114" t="s">
        <v>3462</v>
      </c>
      <c r="M1" s="3721" t="s">
        <v>3463</v>
      </c>
      <c r="N1" s="4114" t="s">
        <v>3465</v>
      </c>
      <c r="O1" s="3711" t="s">
        <v>3453</v>
      </c>
    </row>
    <row r="2" spans="1:15" ht="15" thickBot="1">
      <c r="A2" s="4115"/>
      <c r="B2" s="4115"/>
      <c r="C2" s="4115"/>
      <c r="D2" s="4115"/>
      <c r="E2" s="4115"/>
      <c r="F2" s="4115"/>
      <c r="G2" s="4115"/>
      <c r="H2" s="4115"/>
      <c r="I2" s="4115"/>
      <c r="J2" s="3722" t="s">
        <v>3460</v>
      </c>
      <c r="K2" s="4115"/>
      <c r="L2" s="4115"/>
      <c r="M2" s="3722" t="s">
        <v>3464</v>
      </c>
      <c r="N2" s="4115"/>
    </row>
    <row r="3" spans="1:15" ht="58.5" thickTop="1" thickBot="1">
      <c r="A3" s="3723">
        <v>1</v>
      </c>
      <c r="B3" s="3723" t="s">
        <v>3466</v>
      </c>
      <c r="C3" s="3723" t="s">
        <v>3479</v>
      </c>
      <c r="D3" s="3723" t="s">
        <v>3467</v>
      </c>
      <c r="E3" s="3723">
        <v>100000</v>
      </c>
      <c r="F3" s="3723">
        <v>200000</v>
      </c>
      <c r="G3" s="3723" t="s">
        <v>3468</v>
      </c>
      <c r="H3" s="3723" t="s">
        <v>3469</v>
      </c>
      <c r="I3" s="3724">
        <v>44307</v>
      </c>
      <c r="J3" s="3723">
        <v>13020</v>
      </c>
      <c r="K3" s="3723">
        <v>651</v>
      </c>
      <c r="L3" s="3723">
        <v>127</v>
      </c>
      <c r="M3" s="3723">
        <v>524</v>
      </c>
      <c r="N3" s="3723" t="s">
        <v>3470</v>
      </c>
      <c r="O3" s="3727">
        <f>L3/K3</f>
        <v>0.19508448540706605</v>
      </c>
    </row>
    <row r="4" spans="1:15" ht="57.75" thickBot="1">
      <c r="A4" s="3725">
        <v>2</v>
      </c>
      <c r="B4" s="3725" t="s">
        <v>3471</v>
      </c>
      <c r="C4" s="3725" t="s">
        <v>3480</v>
      </c>
      <c r="D4" s="3725" t="s">
        <v>3472</v>
      </c>
      <c r="E4" s="3725">
        <v>13991.5</v>
      </c>
      <c r="F4" s="3725">
        <v>22386</v>
      </c>
      <c r="G4" s="3725" t="s">
        <v>3468</v>
      </c>
      <c r="H4" s="3725" t="s">
        <v>3469</v>
      </c>
      <c r="I4" s="3726">
        <v>44446</v>
      </c>
      <c r="J4" s="3725">
        <v>1811.03</v>
      </c>
      <c r="K4" s="3725">
        <v>809</v>
      </c>
      <c r="L4" s="3725">
        <v>509</v>
      </c>
      <c r="M4" s="3725">
        <v>300</v>
      </c>
      <c r="N4" s="3725" t="s">
        <v>3470</v>
      </c>
      <c r="O4" s="3727">
        <f t="shared" ref="O4:O8" si="0">L4/K4</f>
        <v>0.62917181705809644</v>
      </c>
    </row>
    <row r="5" spans="1:15" s="3731" customFormat="1" ht="57.75" thickBot="1">
      <c r="A5" s="3728">
        <v>3</v>
      </c>
      <c r="B5" s="3728" t="s">
        <v>3473</v>
      </c>
      <c r="C5" s="3728" t="s">
        <v>3481</v>
      </c>
      <c r="D5" s="3728" t="s">
        <v>3488</v>
      </c>
      <c r="E5" s="3728">
        <v>77481.740000000005</v>
      </c>
      <c r="F5" s="3728">
        <v>100726.26</v>
      </c>
      <c r="G5" s="3728" t="s">
        <v>3468</v>
      </c>
      <c r="H5" s="3728" t="s">
        <v>3469</v>
      </c>
      <c r="I5" s="3729">
        <v>44760</v>
      </c>
      <c r="J5" s="3728">
        <v>8098.39</v>
      </c>
      <c r="K5" s="3728">
        <v>804</v>
      </c>
      <c r="L5" s="3728">
        <v>702</v>
      </c>
      <c r="M5" s="3728">
        <v>102</v>
      </c>
      <c r="N5" s="3728" t="s">
        <v>3470</v>
      </c>
      <c r="O5" s="3730">
        <f t="shared" si="0"/>
        <v>0.87313432835820892</v>
      </c>
    </row>
    <row r="6" spans="1:15" s="3731" customFormat="1" ht="72" thickBot="1">
      <c r="A6" s="3728">
        <v>4</v>
      </c>
      <c r="B6" s="3728" t="s">
        <v>3474</v>
      </c>
      <c r="C6" s="3728" t="s">
        <v>3482</v>
      </c>
      <c r="D6" s="3728" t="s">
        <v>3475</v>
      </c>
      <c r="E6" s="3728">
        <v>65024.44</v>
      </c>
      <c r="F6" s="3728">
        <v>97536.66</v>
      </c>
      <c r="G6" s="3728" t="s">
        <v>3468</v>
      </c>
      <c r="H6" s="3728" t="s">
        <v>3469</v>
      </c>
      <c r="I6" s="3729">
        <v>44760</v>
      </c>
      <c r="J6" s="3728">
        <v>8017.51</v>
      </c>
      <c r="K6" s="3728">
        <v>822</v>
      </c>
      <c r="L6" s="3728">
        <v>107</v>
      </c>
      <c r="M6" s="3728">
        <v>715</v>
      </c>
      <c r="N6" s="3728" t="s">
        <v>3470</v>
      </c>
      <c r="O6" s="3730">
        <f t="shared" si="0"/>
        <v>0.13017031630170317</v>
      </c>
    </row>
    <row r="7" spans="1:15" s="3731" customFormat="1" ht="72" thickBot="1">
      <c r="A7" s="3728">
        <v>5</v>
      </c>
      <c r="B7" s="3728" t="s">
        <v>3476</v>
      </c>
      <c r="C7" s="3728" t="s">
        <v>3483</v>
      </c>
      <c r="D7" s="3728" t="s">
        <v>3477</v>
      </c>
      <c r="E7" s="3728">
        <v>26650.41</v>
      </c>
      <c r="F7" s="3728">
        <v>39975.61</v>
      </c>
      <c r="G7" s="3728" t="s">
        <v>3468</v>
      </c>
      <c r="H7" s="3728" t="s">
        <v>3487</v>
      </c>
      <c r="I7" s="3729">
        <v>44760</v>
      </c>
      <c r="J7" s="3728">
        <v>3258.01</v>
      </c>
      <c r="K7" s="3728">
        <v>815</v>
      </c>
      <c r="L7" s="3728">
        <v>99</v>
      </c>
      <c r="M7" s="3728">
        <v>716</v>
      </c>
      <c r="N7" s="3728" t="s">
        <v>3470</v>
      </c>
      <c r="O7" s="3730">
        <f t="shared" si="0"/>
        <v>0.12147239263803682</v>
      </c>
    </row>
    <row r="8" spans="1:15" s="3731" customFormat="1" ht="72" thickBot="1">
      <c r="A8" s="3728">
        <v>6</v>
      </c>
      <c r="B8" s="3728" t="s">
        <v>3478</v>
      </c>
      <c r="C8" s="3728" t="s">
        <v>3484</v>
      </c>
      <c r="D8" s="3728" t="s">
        <v>3475</v>
      </c>
      <c r="E8" s="3728">
        <v>40217.370000000003</v>
      </c>
      <c r="F8" s="3728">
        <v>60326.05</v>
      </c>
      <c r="G8" s="3728" t="s">
        <v>3468</v>
      </c>
      <c r="H8" s="3728" t="s">
        <v>3469</v>
      </c>
      <c r="I8" s="3729">
        <v>44832</v>
      </c>
      <c r="J8" s="3728">
        <v>4964.83</v>
      </c>
      <c r="K8" s="3728">
        <v>823</v>
      </c>
      <c r="L8" s="3728">
        <v>83</v>
      </c>
      <c r="M8" s="3728">
        <v>740</v>
      </c>
      <c r="N8" s="3728" t="s">
        <v>3470</v>
      </c>
      <c r="O8" s="3730">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zoomScale="70" zoomScaleNormal="70" workbookViewId="0">
      <selection activeCell="U11" sqref="U11"/>
    </sheetView>
  </sheetViews>
  <sheetFormatPr defaultRowHeight="13.5"/>
  <cols>
    <col min="1" max="1" width="5" style="3746" customWidth="1"/>
    <col min="2" max="2" width="0" style="3746" hidden="1" customWidth="1"/>
    <col min="3" max="3" width="26.625" style="3746" customWidth="1"/>
    <col min="4" max="4" width="18.5" style="3746" hidden="1" customWidth="1"/>
    <col min="5" max="6" width="9" style="3746"/>
    <col min="7" max="7" width="0" style="3746" hidden="1" customWidth="1"/>
    <col min="8" max="8" width="9" style="3746"/>
    <col min="9" max="9" width="15.5" style="3746" customWidth="1"/>
    <col min="10" max="12" width="9" style="3746"/>
    <col min="13" max="14" width="0" style="3746" hidden="1" customWidth="1"/>
    <col min="15" max="16384" width="9" style="3746"/>
  </cols>
  <sheetData>
    <row r="1" spans="1:26" ht="33">
      <c r="A1" s="4214" t="s">
        <v>1729</v>
      </c>
      <c r="B1" s="4214" t="s">
        <v>3454</v>
      </c>
      <c r="C1" s="4214" t="s">
        <v>1548</v>
      </c>
      <c r="D1" s="4214" t="s">
        <v>3455</v>
      </c>
      <c r="E1" s="3758" t="s">
        <v>3524</v>
      </c>
      <c r="F1" s="3758" t="s">
        <v>3526</v>
      </c>
      <c r="G1" s="4214" t="s">
        <v>3458</v>
      </c>
      <c r="H1" s="4214" t="s">
        <v>3441</v>
      </c>
      <c r="I1" s="4214" t="s">
        <v>3442</v>
      </c>
      <c r="J1" s="3758" t="s">
        <v>3459</v>
      </c>
      <c r="K1" s="4214" t="s">
        <v>3461</v>
      </c>
      <c r="L1" s="4214" t="s">
        <v>3462</v>
      </c>
      <c r="M1" s="3758" t="s">
        <v>3463</v>
      </c>
      <c r="N1" s="4214" t="s">
        <v>3465</v>
      </c>
      <c r="O1" s="4214" t="s">
        <v>3662</v>
      </c>
    </row>
    <row r="2" spans="1:26" ht="17.25" thickBot="1">
      <c r="A2" s="4215"/>
      <c r="B2" s="4215"/>
      <c r="C2" s="4215"/>
      <c r="D2" s="4215"/>
      <c r="E2" s="3759" t="s">
        <v>3525</v>
      </c>
      <c r="F2" s="3759" t="s">
        <v>3527</v>
      </c>
      <c r="G2" s="4215"/>
      <c r="H2" s="4215"/>
      <c r="I2" s="4215"/>
      <c r="J2" s="3759" t="s">
        <v>3460</v>
      </c>
      <c r="K2" s="4215"/>
      <c r="L2" s="4215"/>
      <c r="M2" s="3759" t="s">
        <v>3464</v>
      </c>
      <c r="N2" s="4215"/>
      <c r="O2" s="4215"/>
    </row>
    <row r="3" spans="1:26" ht="51" thickTop="1" thickBot="1">
      <c r="A3" s="3760">
        <v>1</v>
      </c>
      <c r="B3" s="3760" t="s">
        <v>3528</v>
      </c>
      <c r="C3" s="3760" t="s">
        <v>3529</v>
      </c>
      <c r="D3" s="3760" t="s">
        <v>3530</v>
      </c>
      <c r="E3" s="3760">
        <v>132895.59</v>
      </c>
      <c r="F3" s="3760">
        <v>132895.59</v>
      </c>
      <c r="G3" s="3760" t="s">
        <v>3468</v>
      </c>
      <c r="H3" s="3760" t="s">
        <v>3469</v>
      </c>
      <c r="I3" s="3761">
        <v>44350</v>
      </c>
      <c r="J3" s="3760">
        <v>17928.641500000002</v>
      </c>
      <c r="K3" s="3760">
        <v>1349</v>
      </c>
      <c r="L3" s="3760">
        <v>108</v>
      </c>
      <c r="M3" s="3760">
        <v>1241</v>
      </c>
      <c r="N3" s="3760" t="s">
        <v>3470</v>
      </c>
      <c r="O3" s="3766">
        <f>L3/K3</f>
        <v>8.0059303187546324E-2</v>
      </c>
      <c r="Q3" s="3776" t="s">
        <v>1729</v>
      </c>
      <c r="R3" s="3777" t="s">
        <v>1548</v>
      </c>
      <c r="S3" s="3777" t="s">
        <v>3440</v>
      </c>
      <c r="T3" s="3777" t="s">
        <v>3441</v>
      </c>
      <c r="U3" s="3777" t="s">
        <v>1550</v>
      </c>
      <c r="V3" s="3777" t="s">
        <v>3442</v>
      </c>
      <c r="W3" s="3777" t="s">
        <v>3443</v>
      </c>
      <c r="X3" s="3777" t="s">
        <v>3444</v>
      </c>
      <c r="Y3" s="3777" t="s">
        <v>3445</v>
      </c>
      <c r="Z3" s="3777" t="s">
        <v>3661</v>
      </c>
    </row>
    <row r="4" spans="1:26" ht="50.25" thickBot="1">
      <c r="A4" s="3762">
        <v>2</v>
      </c>
      <c r="B4" s="3762" t="s">
        <v>3531</v>
      </c>
      <c r="C4" s="3762" t="s">
        <v>3532</v>
      </c>
      <c r="D4" s="3762" t="s">
        <v>3547</v>
      </c>
      <c r="E4" s="3762">
        <v>32265.9</v>
      </c>
      <c r="F4" s="3762">
        <v>38719.08</v>
      </c>
      <c r="G4" s="3762" t="s">
        <v>3468</v>
      </c>
      <c r="H4" s="3762" t="s">
        <v>3469</v>
      </c>
      <c r="I4" s="3763">
        <v>44335</v>
      </c>
      <c r="J4" s="3762">
        <v>2578.690728</v>
      </c>
      <c r="K4" s="3762">
        <v>666</v>
      </c>
      <c r="L4" s="3762">
        <v>100</v>
      </c>
      <c r="M4" s="3762">
        <v>566</v>
      </c>
      <c r="N4" s="3762" t="s">
        <v>3470</v>
      </c>
      <c r="O4" s="3766">
        <f t="shared" ref="O4:O45" si="0">L4/K4</f>
        <v>0.15015015015015015</v>
      </c>
    </row>
    <row r="5" spans="1:26" ht="50.25" thickBot="1">
      <c r="A5" s="3764">
        <v>3</v>
      </c>
      <c r="B5" s="3764" t="s">
        <v>3534</v>
      </c>
      <c r="C5" s="3764" t="s">
        <v>3535</v>
      </c>
      <c r="D5" s="3764" t="s">
        <v>3548</v>
      </c>
      <c r="E5" s="3764">
        <v>13006.3</v>
      </c>
      <c r="F5" s="3764">
        <v>9104.41</v>
      </c>
      <c r="G5" s="3764" t="s">
        <v>3468</v>
      </c>
      <c r="H5" s="3764" t="s">
        <v>3469</v>
      </c>
      <c r="I5" s="3765">
        <v>44446</v>
      </c>
      <c r="J5" s="3764">
        <v>742.65972999999997</v>
      </c>
      <c r="K5" s="3764">
        <v>816</v>
      </c>
      <c r="L5" s="3764">
        <v>122</v>
      </c>
      <c r="M5" s="3764">
        <v>693</v>
      </c>
      <c r="N5" s="3764" t="s">
        <v>3470</v>
      </c>
      <c r="O5" s="3766">
        <f t="shared" si="0"/>
        <v>0.14950980392156862</v>
      </c>
    </row>
    <row r="6" spans="1:26" ht="33.75" thickBot="1">
      <c r="A6" s="3762">
        <v>4</v>
      </c>
      <c r="B6" s="3762" t="s">
        <v>3536</v>
      </c>
      <c r="C6" s="3762" t="s">
        <v>3537</v>
      </c>
      <c r="D6" s="3762" t="s">
        <v>3549</v>
      </c>
      <c r="E6" s="3762">
        <v>7844</v>
      </c>
      <c r="F6" s="3762">
        <v>11766</v>
      </c>
      <c r="G6" s="3762" t="s">
        <v>3468</v>
      </c>
      <c r="H6" s="3762" t="s">
        <v>3469</v>
      </c>
      <c r="I6" s="3763">
        <v>44466</v>
      </c>
      <c r="J6" s="3762">
        <v>854.21159999999998</v>
      </c>
      <c r="K6" s="3762">
        <v>726</v>
      </c>
      <c r="L6" s="3762">
        <v>109</v>
      </c>
      <c r="M6" s="3762">
        <v>617</v>
      </c>
      <c r="N6" s="3762" t="s">
        <v>3470</v>
      </c>
      <c r="O6" s="3766">
        <f t="shared" si="0"/>
        <v>0.15013774104683195</v>
      </c>
    </row>
    <row r="7" spans="1:26" ht="66.75" thickBot="1">
      <c r="A7" s="3764">
        <v>5</v>
      </c>
      <c r="B7" s="3764" t="s">
        <v>3538</v>
      </c>
      <c r="C7" s="3764" t="s">
        <v>3552</v>
      </c>
      <c r="D7" s="3764" t="s">
        <v>3550</v>
      </c>
      <c r="E7" s="3764">
        <v>23200</v>
      </c>
      <c r="F7" s="3764">
        <v>32480</v>
      </c>
      <c r="G7" s="3764" t="s">
        <v>3468</v>
      </c>
      <c r="H7" s="3764" t="s">
        <v>3469</v>
      </c>
      <c r="I7" s="3765">
        <v>44487</v>
      </c>
      <c r="J7" s="3764">
        <v>2150.1759999999999</v>
      </c>
      <c r="K7" s="3764">
        <v>662</v>
      </c>
      <c r="L7" s="3764">
        <v>629</v>
      </c>
      <c r="M7" s="3764">
        <v>33</v>
      </c>
      <c r="N7" s="3764" t="s">
        <v>3470</v>
      </c>
      <c r="O7" s="3766">
        <f t="shared" si="0"/>
        <v>0.95015105740181272</v>
      </c>
    </row>
    <row r="8" spans="1:26" ht="50.25" thickBot="1">
      <c r="A8" s="3762">
        <v>6</v>
      </c>
      <c r="B8" s="3762" t="s">
        <v>3540</v>
      </c>
      <c r="C8" s="3762" t="s">
        <v>3541</v>
      </c>
      <c r="D8" s="3762" t="s">
        <v>3551</v>
      </c>
      <c r="E8" s="3762">
        <v>95015.4</v>
      </c>
      <c r="F8" s="3762">
        <v>180529.26</v>
      </c>
      <c r="G8" s="3762" t="s">
        <v>3468</v>
      </c>
      <c r="H8" s="3762" t="s">
        <v>3469</v>
      </c>
      <c r="I8" s="3763">
        <v>44553</v>
      </c>
      <c r="J8" s="3762">
        <v>10308.22075</v>
      </c>
      <c r="K8" s="3762">
        <v>571</v>
      </c>
      <c r="L8" s="3762">
        <v>86</v>
      </c>
      <c r="M8" s="3762">
        <v>485</v>
      </c>
      <c r="N8" s="3762" t="s">
        <v>3470</v>
      </c>
      <c r="O8" s="3766">
        <f t="shared" si="0"/>
        <v>0.15061295971978983</v>
      </c>
    </row>
    <row r="9" spans="1:26" ht="50.25" thickBot="1">
      <c r="A9" s="3764">
        <v>7</v>
      </c>
      <c r="B9" s="3764" t="s">
        <v>3542</v>
      </c>
      <c r="C9" s="3764" t="s">
        <v>3543</v>
      </c>
      <c r="D9" s="3764" t="s">
        <v>3553</v>
      </c>
      <c r="E9" s="3764">
        <v>40148.6</v>
      </c>
      <c r="F9" s="3764">
        <v>60222.9</v>
      </c>
      <c r="G9" s="3764" t="s">
        <v>3468</v>
      </c>
      <c r="H9" s="3764" t="s">
        <v>3469</v>
      </c>
      <c r="I9" s="3765">
        <v>44600</v>
      </c>
      <c r="J9" s="3764">
        <v>3438.72759</v>
      </c>
      <c r="K9" s="3764">
        <v>571</v>
      </c>
      <c r="L9" s="3764">
        <v>86</v>
      </c>
      <c r="M9" s="3764">
        <v>485</v>
      </c>
      <c r="N9" s="3764" t="s">
        <v>3470</v>
      </c>
      <c r="O9" s="3766">
        <f t="shared" si="0"/>
        <v>0.15061295971978983</v>
      </c>
    </row>
    <row r="10" spans="1:26" ht="83.25" thickBot="1">
      <c r="A10" s="3762">
        <v>8</v>
      </c>
      <c r="B10" s="3762" t="s">
        <v>3544</v>
      </c>
      <c r="C10" s="3762" t="s">
        <v>3554</v>
      </c>
      <c r="D10" s="3762" t="s">
        <v>3539</v>
      </c>
      <c r="E10" s="3762">
        <v>76366.376999999993</v>
      </c>
      <c r="F10" s="3762">
        <v>114549.56600000001</v>
      </c>
      <c r="G10" s="3762" t="s">
        <v>3468</v>
      </c>
      <c r="H10" s="3762" t="s">
        <v>3469</v>
      </c>
      <c r="I10" s="3763">
        <v>44630</v>
      </c>
      <c r="J10" s="3762">
        <v>11431.521500000001</v>
      </c>
      <c r="K10" s="3762">
        <v>998</v>
      </c>
      <c r="L10" s="3762">
        <v>200</v>
      </c>
      <c r="M10" s="3762">
        <v>798</v>
      </c>
      <c r="N10" s="3762" t="s">
        <v>3470</v>
      </c>
      <c r="O10" s="3766">
        <f t="shared" si="0"/>
        <v>0.20040080160320642</v>
      </c>
    </row>
    <row r="11" spans="1:26" ht="66.75" thickBot="1">
      <c r="A11" s="3764">
        <v>9</v>
      </c>
      <c r="B11" s="3764" t="s">
        <v>3545</v>
      </c>
      <c r="C11" s="3764" t="s">
        <v>3555</v>
      </c>
      <c r="D11" s="3764" t="s">
        <v>3546</v>
      </c>
      <c r="E11" s="3764">
        <v>52790.031999999999</v>
      </c>
      <c r="F11" s="3764">
        <v>79185.047999999995</v>
      </c>
      <c r="G11" s="3764" t="s">
        <v>3468</v>
      </c>
      <c r="H11" s="3764" t="s">
        <v>3469</v>
      </c>
      <c r="I11" s="3765">
        <v>44868</v>
      </c>
      <c r="J11" s="3764">
        <v>9429.4053000000004</v>
      </c>
      <c r="K11" s="3764">
        <v>1191</v>
      </c>
      <c r="L11" s="3764">
        <v>70</v>
      </c>
      <c r="M11" s="3764">
        <v>1121</v>
      </c>
      <c r="N11" s="3764" t="s">
        <v>3470</v>
      </c>
      <c r="O11" s="3766">
        <f t="shared" si="0"/>
        <v>5.877413937867338E-2</v>
      </c>
    </row>
    <row r="12" spans="1:26" ht="50.25" thickBot="1">
      <c r="B12" s="3767" t="s">
        <v>3556</v>
      </c>
      <c r="C12" s="3767" t="s">
        <v>3557</v>
      </c>
      <c r="D12" s="3767" t="s">
        <v>3558</v>
      </c>
      <c r="E12" s="3767">
        <v>16922.8</v>
      </c>
      <c r="F12" s="3767">
        <v>33845.599999999999</v>
      </c>
      <c r="G12" s="3767" t="s">
        <v>3468</v>
      </c>
      <c r="H12" s="3767" t="s">
        <v>3469</v>
      </c>
      <c r="I12" s="3768">
        <v>44229</v>
      </c>
      <c r="J12" s="3767">
        <v>2254.1169599999998</v>
      </c>
      <c r="K12" s="3767">
        <v>666</v>
      </c>
      <c r="L12" s="3767">
        <v>100</v>
      </c>
      <c r="M12" s="3767">
        <v>566</v>
      </c>
      <c r="N12" s="3767" t="s">
        <v>3470</v>
      </c>
      <c r="O12" s="3766">
        <f t="shared" si="0"/>
        <v>0.15015015015015015</v>
      </c>
    </row>
    <row r="13" spans="1:26" ht="51" thickTop="1" thickBot="1">
      <c r="B13" s="3760" t="s">
        <v>3559</v>
      </c>
      <c r="C13" s="3760" t="s">
        <v>3560</v>
      </c>
      <c r="D13" s="3760" t="s">
        <v>3561</v>
      </c>
      <c r="E13" s="3760">
        <v>23044.5</v>
      </c>
      <c r="F13" s="3760">
        <v>46089</v>
      </c>
      <c r="G13" s="3760" t="s">
        <v>3468</v>
      </c>
      <c r="H13" s="3760" t="s">
        <v>3469</v>
      </c>
      <c r="I13" s="3761">
        <v>44266</v>
      </c>
      <c r="J13" s="3760">
        <v>3346.0614</v>
      </c>
      <c r="K13" s="3760">
        <v>726</v>
      </c>
      <c r="L13" s="3760">
        <v>109</v>
      </c>
      <c r="M13" s="3760">
        <v>617</v>
      </c>
      <c r="N13" s="3760" t="s">
        <v>3470</v>
      </c>
      <c r="O13" s="3766">
        <f t="shared" si="0"/>
        <v>0.15013774104683195</v>
      </c>
    </row>
    <row r="14" spans="1:26" ht="50.25" thickBot="1">
      <c r="B14" s="3762" t="s">
        <v>3562</v>
      </c>
      <c r="C14" s="3762" t="s">
        <v>3563</v>
      </c>
      <c r="D14" s="3762" t="s">
        <v>3564</v>
      </c>
      <c r="E14" s="3762">
        <v>34162.300000000003</v>
      </c>
      <c r="F14" s="3762">
        <v>68324.600000000006</v>
      </c>
      <c r="G14" s="3762" t="s">
        <v>3468</v>
      </c>
      <c r="H14" s="3762" t="s">
        <v>3469</v>
      </c>
      <c r="I14" s="3763">
        <v>44287</v>
      </c>
      <c r="J14" s="3762">
        <v>4550.4183599999997</v>
      </c>
      <c r="K14" s="3762">
        <v>666</v>
      </c>
      <c r="L14" s="3762">
        <v>100</v>
      </c>
      <c r="M14" s="3762">
        <v>566</v>
      </c>
      <c r="N14" s="3762" t="s">
        <v>3470</v>
      </c>
      <c r="O14" s="3766">
        <f t="shared" si="0"/>
        <v>0.15015015015015015</v>
      </c>
    </row>
    <row r="15" spans="1:26" ht="50.25" thickBot="1">
      <c r="B15" s="3764" t="s">
        <v>3565</v>
      </c>
      <c r="C15" s="3764" t="s">
        <v>3566</v>
      </c>
      <c r="D15" s="3764" t="s">
        <v>3567</v>
      </c>
      <c r="E15" s="3764">
        <v>12863.4</v>
      </c>
      <c r="F15" s="3764">
        <v>19295.099999999999</v>
      </c>
      <c r="G15" s="3764" t="s">
        <v>3468</v>
      </c>
      <c r="H15" s="3764" t="s">
        <v>3469</v>
      </c>
      <c r="I15" s="3765">
        <v>44306</v>
      </c>
      <c r="J15" s="3764">
        <v>1132.62237</v>
      </c>
      <c r="K15" s="3764">
        <v>587</v>
      </c>
      <c r="L15" s="3764">
        <v>88</v>
      </c>
      <c r="M15" s="3764">
        <v>499</v>
      </c>
      <c r="N15" s="3764" t="s">
        <v>3470</v>
      </c>
      <c r="O15" s="3766">
        <f t="shared" si="0"/>
        <v>0.14991482112436116</v>
      </c>
    </row>
    <row r="16" spans="1:26" ht="50.25" thickBot="1">
      <c r="B16" s="3762" t="s">
        <v>3568</v>
      </c>
      <c r="C16" s="3762" t="s">
        <v>3532</v>
      </c>
      <c r="D16" s="3762" t="s">
        <v>3533</v>
      </c>
      <c r="E16" s="3762">
        <v>32265.9</v>
      </c>
      <c r="F16" s="3762">
        <v>38719.08</v>
      </c>
      <c r="G16" s="3762" t="s">
        <v>3468</v>
      </c>
      <c r="H16" s="3762" t="s">
        <v>3469</v>
      </c>
      <c r="I16" s="3763">
        <v>44335</v>
      </c>
      <c r="J16" s="3762">
        <v>2578.690728</v>
      </c>
      <c r="K16" s="3762">
        <v>666</v>
      </c>
      <c r="L16" s="3762">
        <v>100</v>
      </c>
      <c r="M16" s="3762">
        <v>566</v>
      </c>
      <c r="N16" s="3762" t="s">
        <v>3470</v>
      </c>
      <c r="O16" s="3766">
        <f t="shared" si="0"/>
        <v>0.15015015015015015</v>
      </c>
    </row>
    <row r="17" spans="2:15" ht="50.25" thickBot="1">
      <c r="B17" s="3764" t="s">
        <v>3569</v>
      </c>
      <c r="C17" s="3764" t="s">
        <v>3570</v>
      </c>
      <c r="D17" s="3764" t="s">
        <v>3571</v>
      </c>
      <c r="E17" s="3764">
        <v>145654</v>
      </c>
      <c r="F17" s="3764">
        <v>356072.51</v>
      </c>
      <c r="G17" s="3764" t="s">
        <v>3468</v>
      </c>
      <c r="H17" s="3764" t="s">
        <v>3469</v>
      </c>
      <c r="I17" s="3765">
        <v>44343</v>
      </c>
      <c r="J17" s="3764">
        <v>38455.831080000004</v>
      </c>
      <c r="K17" s="3764">
        <v>1080</v>
      </c>
      <c r="L17" s="3764">
        <v>162</v>
      </c>
      <c r="M17" s="3764">
        <v>918</v>
      </c>
      <c r="N17" s="3764" t="s">
        <v>3496</v>
      </c>
      <c r="O17" s="3766">
        <f t="shared" si="0"/>
        <v>0.15</v>
      </c>
    </row>
    <row r="18" spans="2:15" ht="50.25" thickBot="1">
      <c r="B18" s="3762" t="s">
        <v>3572</v>
      </c>
      <c r="C18" s="3762" t="s">
        <v>3573</v>
      </c>
      <c r="D18" s="3762" t="s">
        <v>3574</v>
      </c>
      <c r="E18" s="3762">
        <v>128009.8</v>
      </c>
      <c r="F18" s="3762">
        <v>256019.6</v>
      </c>
      <c r="G18" s="3762" t="s">
        <v>3468</v>
      </c>
      <c r="H18" s="3762" t="s">
        <v>3469</v>
      </c>
      <c r="I18" s="3763">
        <v>44349</v>
      </c>
      <c r="J18" s="3762">
        <v>14618.719160000001</v>
      </c>
      <c r="K18" s="3762">
        <v>571</v>
      </c>
      <c r="L18" s="3762">
        <v>86</v>
      </c>
      <c r="M18" s="3762">
        <v>485</v>
      </c>
      <c r="N18" s="3762" t="s">
        <v>3470</v>
      </c>
      <c r="O18" s="3766">
        <f t="shared" si="0"/>
        <v>0.15061295971978983</v>
      </c>
    </row>
    <row r="19" spans="2:15" ht="33.75" thickBot="1">
      <c r="B19" s="3764" t="s">
        <v>3575</v>
      </c>
      <c r="C19" s="3764" t="s">
        <v>3576</v>
      </c>
      <c r="D19" s="3764" t="s">
        <v>3577</v>
      </c>
      <c r="E19" s="3764">
        <v>106037.9</v>
      </c>
      <c r="F19" s="3764">
        <v>212075.8</v>
      </c>
      <c r="G19" s="3764" t="s">
        <v>3468</v>
      </c>
      <c r="H19" s="3764" t="s">
        <v>3469</v>
      </c>
      <c r="I19" s="3765">
        <v>44424</v>
      </c>
      <c r="J19" s="3764">
        <v>21377.24064</v>
      </c>
      <c r="K19" s="3764">
        <v>1008</v>
      </c>
      <c r="L19" s="3764">
        <v>151</v>
      </c>
      <c r="M19" s="3764">
        <v>857</v>
      </c>
      <c r="N19" s="3764" t="s">
        <v>3470</v>
      </c>
      <c r="O19" s="3766">
        <f t="shared" si="0"/>
        <v>0.1498015873015873</v>
      </c>
    </row>
    <row r="20" spans="2:15" ht="50.25" thickBot="1">
      <c r="B20" s="3762" t="s">
        <v>3578</v>
      </c>
      <c r="C20" s="3762" t="s">
        <v>3579</v>
      </c>
      <c r="D20" s="3762" t="s">
        <v>3580</v>
      </c>
      <c r="E20" s="3762">
        <v>49454.7</v>
      </c>
      <c r="F20" s="3762">
        <v>98909.4</v>
      </c>
      <c r="G20" s="3762" t="s">
        <v>3468</v>
      </c>
      <c r="H20" s="3762" t="s">
        <v>3469</v>
      </c>
      <c r="I20" s="3763">
        <v>44454</v>
      </c>
      <c r="J20" s="3762">
        <v>6448.8928800000003</v>
      </c>
      <c r="K20" s="3762">
        <v>652</v>
      </c>
      <c r="L20" s="3762">
        <v>98</v>
      </c>
      <c r="M20" s="3762">
        <v>554</v>
      </c>
      <c r="N20" s="3762" t="s">
        <v>3470</v>
      </c>
      <c r="O20" s="3766">
        <f t="shared" si="0"/>
        <v>0.15030674846625766</v>
      </c>
    </row>
    <row r="21" spans="2:15" ht="50.25" thickBot="1">
      <c r="B21" s="3764" t="s">
        <v>3581</v>
      </c>
      <c r="C21" s="3764" t="s">
        <v>3582</v>
      </c>
      <c r="D21" s="3764" t="s">
        <v>3583</v>
      </c>
      <c r="E21" s="3764">
        <v>82052.600000000006</v>
      </c>
      <c r="F21" s="3764">
        <v>155899.94</v>
      </c>
      <c r="G21" s="3764" t="s">
        <v>3468</v>
      </c>
      <c r="H21" s="3764" t="s">
        <v>3469</v>
      </c>
      <c r="I21" s="3765">
        <v>44466</v>
      </c>
      <c r="J21" s="3764">
        <v>16837.193520000001</v>
      </c>
      <c r="K21" s="3764">
        <v>1080</v>
      </c>
      <c r="L21" s="3764">
        <v>162</v>
      </c>
      <c r="M21" s="3764">
        <v>918</v>
      </c>
      <c r="N21" s="3764" t="s">
        <v>3496</v>
      </c>
      <c r="O21" s="3766">
        <f t="shared" si="0"/>
        <v>0.15</v>
      </c>
    </row>
    <row r="22" spans="2:15" ht="50.25" thickBot="1">
      <c r="B22" s="3762" t="s">
        <v>3584</v>
      </c>
      <c r="C22" s="3762" t="s">
        <v>3585</v>
      </c>
      <c r="D22" s="3762" t="s">
        <v>3586</v>
      </c>
      <c r="E22" s="3762">
        <v>718046.1</v>
      </c>
      <c r="F22" s="3762">
        <v>646241.49</v>
      </c>
      <c r="G22" s="3762" t="s">
        <v>3468</v>
      </c>
      <c r="H22" s="3762" t="s">
        <v>3469</v>
      </c>
      <c r="I22" s="3763">
        <v>44671</v>
      </c>
      <c r="J22" s="3762">
        <v>61033.9185</v>
      </c>
      <c r="K22" s="3762">
        <v>944</v>
      </c>
      <c r="L22" s="3762">
        <v>142</v>
      </c>
      <c r="M22" s="3762">
        <v>803</v>
      </c>
      <c r="N22" s="3762" t="s">
        <v>3496</v>
      </c>
      <c r="O22" s="3766">
        <f t="shared" si="0"/>
        <v>0.15042372881355931</v>
      </c>
    </row>
    <row r="23" spans="2:15" ht="50.25" thickBot="1">
      <c r="B23" s="3767" t="s">
        <v>3587</v>
      </c>
      <c r="C23" s="3767" t="s">
        <v>3588</v>
      </c>
      <c r="D23" s="3767" t="s">
        <v>3589</v>
      </c>
      <c r="E23" s="3767">
        <v>21090.2</v>
      </c>
      <c r="F23" s="3767">
        <v>32478.9</v>
      </c>
      <c r="G23" s="3767" t="s">
        <v>3468</v>
      </c>
      <c r="H23" s="3767" t="s">
        <v>3469</v>
      </c>
      <c r="I23" s="3768">
        <v>44671</v>
      </c>
      <c r="J23" s="3767">
        <v>2163.09474</v>
      </c>
      <c r="K23" s="3767">
        <v>666</v>
      </c>
      <c r="L23" s="3767">
        <v>100</v>
      </c>
      <c r="M23" s="3767">
        <v>566</v>
      </c>
      <c r="N23" s="3767" t="s">
        <v>3470</v>
      </c>
      <c r="O23" s="3766">
        <f t="shared" si="0"/>
        <v>0.15015015015015015</v>
      </c>
    </row>
    <row r="24" spans="2:15" ht="51" thickTop="1" thickBot="1">
      <c r="B24" s="3760" t="s">
        <v>3590</v>
      </c>
      <c r="C24" s="3760" t="s">
        <v>3591</v>
      </c>
      <c r="D24" s="3760" t="s">
        <v>3592</v>
      </c>
      <c r="E24" s="3760">
        <v>103092.9</v>
      </c>
      <c r="F24" s="3760">
        <v>175257.93</v>
      </c>
      <c r="G24" s="3760" t="s">
        <v>3468</v>
      </c>
      <c r="H24" s="3760" t="s">
        <v>3469</v>
      </c>
      <c r="I24" s="3761">
        <v>44699</v>
      </c>
      <c r="J24" s="3760">
        <v>10287.64049</v>
      </c>
      <c r="K24" s="3760">
        <v>587</v>
      </c>
      <c r="L24" s="3760">
        <v>88</v>
      </c>
      <c r="M24" s="3760">
        <v>499</v>
      </c>
      <c r="N24" s="3760" t="s">
        <v>3470</v>
      </c>
      <c r="O24" s="3766">
        <f t="shared" si="0"/>
        <v>0.14991482112436116</v>
      </c>
    </row>
    <row r="25" spans="2:15" ht="50.25" thickBot="1">
      <c r="B25" s="3762" t="s">
        <v>3593</v>
      </c>
      <c r="C25" s="3762" t="s">
        <v>3594</v>
      </c>
      <c r="D25" s="3762" t="s">
        <v>3595</v>
      </c>
      <c r="E25" s="3762">
        <v>30589.9</v>
      </c>
      <c r="F25" s="3762">
        <v>45884.85</v>
      </c>
      <c r="G25" s="3762" t="s">
        <v>3468</v>
      </c>
      <c r="H25" s="3762" t="s">
        <v>3469</v>
      </c>
      <c r="I25" s="3763">
        <v>44713</v>
      </c>
      <c r="J25" s="3762">
        <v>2620.0249349999999</v>
      </c>
      <c r="K25" s="3762">
        <v>571</v>
      </c>
      <c r="L25" s="3762">
        <v>86</v>
      </c>
      <c r="M25" s="3762">
        <v>485</v>
      </c>
      <c r="N25" s="3762" t="s">
        <v>3470</v>
      </c>
      <c r="O25" s="3766">
        <f t="shared" si="0"/>
        <v>0.15061295971978983</v>
      </c>
    </row>
    <row r="26" spans="2:15" ht="50.25" thickBot="1">
      <c r="B26" s="3764" t="s">
        <v>3596</v>
      </c>
      <c r="C26" s="3764" t="s">
        <v>3597</v>
      </c>
      <c r="D26" s="3764" t="s">
        <v>3598</v>
      </c>
      <c r="E26" s="3764">
        <v>113291.7</v>
      </c>
      <c r="F26" s="3764">
        <v>113291.7</v>
      </c>
      <c r="G26" s="3764" t="s">
        <v>3468</v>
      </c>
      <c r="H26" s="3764" t="s">
        <v>3469</v>
      </c>
      <c r="I26" s="3765">
        <v>44713</v>
      </c>
      <c r="J26" s="3764">
        <v>6650.2227899999998</v>
      </c>
      <c r="K26" s="3764">
        <v>587</v>
      </c>
      <c r="L26" s="3764">
        <v>88</v>
      </c>
      <c r="M26" s="3764">
        <v>499</v>
      </c>
      <c r="N26" s="3764" t="s">
        <v>3470</v>
      </c>
      <c r="O26" s="3766">
        <f t="shared" si="0"/>
        <v>0.14991482112436116</v>
      </c>
    </row>
    <row r="27" spans="2:15" ht="50.25" thickBot="1">
      <c r="B27" s="3762" t="s">
        <v>3599</v>
      </c>
      <c r="C27" s="3762" t="s">
        <v>3600</v>
      </c>
      <c r="D27" s="3762" t="s">
        <v>3601</v>
      </c>
      <c r="E27" s="3762">
        <v>7506.5</v>
      </c>
      <c r="F27" s="3762">
        <v>11259.75</v>
      </c>
      <c r="G27" s="3762" t="s">
        <v>3468</v>
      </c>
      <c r="H27" s="3762" t="s">
        <v>3469</v>
      </c>
      <c r="I27" s="3763">
        <v>44788</v>
      </c>
      <c r="J27" s="3762">
        <v>1134.9828</v>
      </c>
      <c r="K27" s="3762">
        <v>1008</v>
      </c>
      <c r="L27" s="3762">
        <v>151</v>
      </c>
      <c r="M27" s="3762">
        <v>857</v>
      </c>
      <c r="N27" s="3762" t="s">
        <v>3470</v>
      </c>
      <c r="O27" s="3766">
        <f t="shared" si="0"/>
        <v>0.1498015873015873</v>
      </c>
    </row>
    <row r="28" spans="2:15" ht="50.25" thickBot="1">
      <c r="B28" s="3764" t="s">
        <v>3602</v>
      </c>
      <c r="C28" s="3764" t="s">
        <v>3603</v>
      </c>
      <c r="D28" s="3764" t="s">
        <v>3603</v>
      </c>
      <c r="E28" s="3764">
        <v>15975.8</v>
      </c>
      <c r="F28" s="3764">
        <v>23963.7</v>
      </c>
      <c r="G28" s="3764" t="s">
        <v>3468</v>
      </c>
      <c r="H28" s="3764" t="s">
        <v>3469</v>
      </c>
      <c r="I28" s="3765">
        <v>44788</v>
      </c>
      <c r="J28" s="3764">
        <v>1368.32727</v>
      </c>
      <c r="K28" s="3764">
        <v>571</v>
      </c>
      <c r="L28" s="3764">
        <v>0</v>
      </c>
      <c r="M28" s="3764">
        <v>571</v>
      </c>
      <c r="N28" s="3764" t="s">
        <v>3470</v>
      </c>
      <c r="O28" s="3766">
        <f t="shared" si="0"/>
        <v>0</v>
      </c>
    </row>
    <row r="29" spans="2:15" ht="50.25" thickBot="1">
      <c r="B29" s="3762" t="s">
        <v>3604</v>
      </c>
      <c r="C29" s="3762" t="s">
        <v>3605</v>
      </c>
      <c r="D29" s="3762" t="s">
        <v>3606</v>
      </c>
      <c r="E29" s="3762">
        <v>26316.6</v>
      </c>
      <c r="F29" s="3762">
        <v>30264.09</v>
      </c>
      <c r="G29" s="3762" t="s">
        <v>3468</v>
      </c>
      <c r="H29" s="3762" t="s">
        <v>3469</v>
      </c>
      <c r="I29" s="3763">
        <v>44809</v>
      </c>
      <c r="J29" s="3762">
        <v>1973.218668</v>
      </c>
      <c r="K29" s="3762">
        <v>652</v>
      </c>
      <c r="L29" s="3762">
        <v>98</v>
      </c>
      <c r="M29" s="3762">
        <v>554</v>
      </c>
      <c r="N29" s="3762" t="s">
        <v>3470</v>
      </c>
      <c r="O29" s="3766">
        <f t="shared" si="0"/>
        <v>0.15030674846625766</v>
      </c>
    </row>
    <row r="30" spans="2:15" ht="50.25" thickBot="1">
      <c r="B30" s="3764" t="s">
        <v>3607</v>
      </c>
      <c r="C30" s="3764" t="s">
        <v>3608</v>
      </c>
      <c r="D30" s="3764" t="s">
        <v>3609</v>
      </c>
      <c r="E30" s="3764">
        <v>10526.1</v>
      </c>
      <c r="F30" s="3764">
        <v>12631.32</v>
      </c>
      <c r="G30" s="3764" t="s">
        <v>3468</v>
      </c>
      <c r="H30" s="3764" t="s">
        <v>3469</v>
      </c>
      <c r="I30" s="3765">
        <v>44809</v>
      </c>
      <c r="J30" s="3764">
        <v>823.56206399999996</v>
      </c>
      <c r="K30" s="3764">
        <v>652</v>
      </c>
      <c r="L30" s="3764">
        <v>-677</v>
      </c>
      <c r="M30" s="3764">
        <v>1329</v>
      </c>
      <c r="N30" s="3764" t="s">
        <v>3470</v>
      </c>
      <c r="O30" s="3766">
        <f t="shared" si="0"/>
        <v>-1.0383435582822085</v>
      </c>
    </row>
    <row r="31" spans="2:15" ht="50.25" thickBot="1">
      <c r="B31" s="3762" t="s">
        <v>3610</v>
      </c>
      <c r="C31" s="3762" t="s">
        <v>3611</v>
      </c>
      <c r="D31" s="3762" t="s">
        <v>3611</v>
      </c>
      <c r="E31" s="3762">
        <v>19670.8</v>
      </c>
      <c r="F31" s="3762">
        <v>29506.2</v>
      </c>
      <c r="G31" s="3762" t="s">
        <v>3468</v>
      </c>
      <c r="H31" s="3762" t="s">
        <v>3469</v>
      </c>
      <c r="I31" s="3763">
        <v>44860</v>
      </c>
      <c r="J31" s="3762">
        <v>1684.80402</v>
      </c>
      <c r="K31" s="3762">
        <v>571</v>
      </c>
      <c r="L31" s="3762">
        <v>86</v>
      </c>
      <c r="M31" s="3762">
        <v>485</v>
      </c>
      <c r="N31" s="3762" t="s">
        <v>3470</v>
      </c>
      <c r="O31" s="3766">
        <f t="shared" si="0"/>
        <v>0.15061295971978983</v>
      </c>
    </row>
    <row r="32" spans="2:15" ht="50.25" thickBot="1">
      <c r="B32" s="3764" t="s">
        <v>3612</v>
      </c>
      <c r="C32" s="3764" t="s">
        <v>3613</v>
      </c>
      <c r="D32" s="3764" t="s">
        <v>3614</v>
      </c>
      <c r="E32" s="3764">
        <v>24526.2</v>
      </c>
      <c r="F32" s="3764">
        <v>49052.4</v>
      </c>
      <c r="G32" s="3764" t="s">
        <v>3468</v>
      </c>
      <c r="H32" s="3764" t="s">
        <v>3469</v>
      </c>
      <c r="I32" s="3765">
        <v>44860</v>
      </c>
      <c r="J32" s="3764">
        <v>2800.8920400000002</v>
      </c>
      <c r="K32" s="3764">
        <v>571</v>
      </c>
      <c r="L32" s="3764">
        <v>86</v>
      </c>
      <c r="M32" s="3764">
        <v>485</v>
      </c>
      <c r="N32" s="3764" t="s">
        <v>3470</v>
      </c>
      <c r="O32" s="3766">
        <f t="shared" si="0"/>
        <v>0.15061295971978983</v>
      </c>
    </row>
    <row r="33" spans="2:15" ht="66.75" thickBot="1">
      <c r="B33" s="3762" t="s">
        <v>3615</v>
      </c>
      <c r="C33" s="3762" t="s">
        <v>3616</v>
      </c>
      <c r="D33" s="3762" t="s">
        <v>3617</v>
      </c>
      <c r="E33" s="3762">
        <v>25334.799999999999</v>
      </c>
      <c r="F33" s="3762">
        <v>38002.199999999997</v>
      </c>
      <c r="G33" s="3762" t="s">
        <v>3468</v>
      </c>
      <c r="H33" s="3762" t="s">
        <v>3469</v>
      </c>
      <c r="I33" s="3763">
        <v>44931</v>
      </c>
      <c r="J33" s="3762">
        <v>2169.92562</v>
      </c>
      <c r="K33" s="3762">
        <v>571</v>
      </c>
      <c r="L33" s="3762">
        <v>86</v>
      </c>
      <c r="M33" s="3762">
        <v>485</v>
      </c>
      <c r="N33" s="3762" t="s">
        <v>3470</v>
      </c>
      <c r="O33" s="3766">
        <f t="shared" si="0"/>
        <v>0.15061295971978983</v>
      </c>
    </row>
    <row r="34" spans="2:15" ht="50.25" thickBot="1">
      <c r="B34" s="3764" t="s">
        <v>3618</v>
      </c>
      <c r="C34" s="3764" t="s">
        <v>3619</v>
      </c>
      <c r="D34" s="3764" t="s">
        <v>3620</v>
      </c>
      <c r="E34" s="3764">
        <v>3658.3</v>
      </c>
      <c r="F34" s="3764">
        <v>3900</v>
      </c>
      <c r="G34" s="3764" t="s">
        <v>3468</v>
      </c>
      <c r="H34" s="3764" t="s">
        <v>3469</v>
      </c>
      <c r="I34" s="3765">
        <v>44955</v>
      </c>
      <c r="J34" s="3764">
        <v>368.94</v>
      </c>
      <c r="K34" s="3764">
        <v>946</v>
      </c>
      <c r="L34" s="3764">
        <v>142</v>
      </c>
      <c r="M34" s="3764">
        <v>804</v>
      </c>
      <c r="N34" s="3764" t="s">
        <v>3621</v>
      </c>
      <c r="O34" s="3766">
        <f t="shared" si="0"/>
        <v>0.15010570824524314</v>
      </c>
    </row>
    <row r="35" spans="2:15" ht="50.25" thickBot="1">
      <c r="B35" s="3762" t="s">
        <v>3622</v>
      </c>
      <c r="C35" s="3762" t="s">
        <v>3623</v>
      </c>
      <c r="D35" s="3762" t="s">
        <v>3624</v>
      </c>
      <c r="E35" s="3762">
        <v>420642.53</v>
      </c>
      <c r="F35" s="3762">
        <v>841285.06</v>
      </c>
      <c r="G35" s="3762" t="s">
        <v>3468</v>
      </c>
      <c r="H35" s="3762" t="s">
        <v>3469</v>
      </c>
      <c r="I35" s="3763">
        <v>44964</v>
      </c>
      <c r="J35" s="3762">
        <v>49383.433019999997</v>
      </c>
      <c r="K35" s="3762">
        <v>587</v>
      </c>
      <c r="L35" s="3762">
        <v>88</v>
      </c>
      <c r="M35" s="3762">
        <v>499</v>
      </c>
      <c r="N35" s="3762" t="s">
        <v>3470</v>
      </c>
      <c r="O35" s="3766">
        <f t="shared" si="0"/>
        <v>0.14991482112436116</v>
      </c>
    </row>
    <row r="36" spans="2:15" ht="99.75" thickBot="1">
      <c r="B36" s="3767" t="s">
        <v>3625</v>
      </c>
      <c r="C36" s="3767" t="s">
        <v>3626</v>
      </c>
      <c r="D36" s="3767" t="s">
        <v>3627</v>
      </c>
      <c r="E36" s="3767">
        <v>23652.307000000001</v>
      </c>
      <c r="F36" s="3767">
        <v>23652.307000000001</v>
      </c>
      <c r="G36" s="3767" t="s">
        <v>3468</v>
      </c>
      <c r="H36" s="3767" t="s">
        <v>3469</v>
      </c>
      <c r="I36" s="3768">
        <v>44480</v>
      </c>
      <c r="J36" s="3767">
        <v>2689.6046999999999</v>
      </c>
      <c r="K36" s="3767">
        <v>1137</v>
      </c>
      <c r="L36" s="3767">
        <v>85</v>
      </c>
      <c r="M36" s="3767">
        <v>1052</v>
      </c>
      <c r="N36" s="3767" t="s">
        <v>3470</v>
      </c>
      <c r="O36" s="3766">
        <f t="shared" si="0"/>
        <v>7.4758135444151275E-2</v>
      </c>
    </row>
    <row r="37" spans="2:15" ht="84" thickTop="1" thickBot="1">
      <c r="B37" s="3760" t="s">
        <v>3628</v>
      </c>
      <c r="C37" s="3760" t="s">
        <v>3629</v>
      </c>
      <c r="D37" s="3760" t="s">
        <v>3627</v>
      </c>
      <c r="E37" s="3760">
        <v>57488.822999999997</v>
      </c>
      <c r="F37" s="3760">
        <v>86233.233999999997</v>
      </c>
      <c r="G37" s="3760" t="s">
        <v>3468</v>
      </c>
      <c r="H37" s="3760" t="s">
        <v>3469</v>
      </c>
      <c r="I37" s="3761">
        <v>44480</v>
      </c>
      <c r="J37" s="3760">
        <v>7835.6760000000004</v>
      </c>
      <c r="K37" s="3760">
        <v>909</v>
      </c>
      <c r="L37" s="3760">
        <v>68</v>
      </c>
      <c r="M37" s="3760">
        <v>841</v>
      </c>
      <c r="N37" s="3760" t="s">
        <v>3470</v>
      </c>
      <c r="O37" s="3766">
        <f t="shared" si="0"/>
        <v>7.4807480748074806E-2</v>
      </c>
    </row>
    <row r="38" spans="2:15" ht="83.25" thickBot="1">
      <c r="B38" s="3762" t="s">
        <v>3630</v>
      </c>
      <c r="C38" s="3762" t="s">
        <v>3631</v>
      </c>
      <c r="D38" s="3762" t="s">
        <v>3627</v>
      </c>
      <c r="E38" s="3762">
        <v>23170.403999999999</v>
      </c>
      <c r="F38" s="3762">
        <v>23170.403999999999</v>
      </c>
      <c r="G38" s="3762" t="s">
        <v>3468</v>
      </c>
      <c r="H38" s="3762" t="s">
        <v>3469</v>
      </c>
      <c r="I38" s="3763">
        <v>44480</v>
      </c>
      <c r="J38" s="3762">
        <v>2632.7813999999998</v>
      </c>
      <c r="K38" s="3762">
        <v>1136</v>
      </c>
      <c r="L38" s="3762">
        <v>84</v>
      </c>
      <c r="M38" s="3762">
        <v>1052</v>
      </c>
      <c r="N38" s="3762" t="s">
        <v>3470</v>
      </c>
      <c r="O38" s="3766">
        <f t="shared" si="0"/>
        <v>7.3943661971830985E-2</v>
      </c>
    </row>
    <row r="39" spans="2:15" ht="83.25" thickBot="1">
      <c r="B39" s="3764" t="s">
        <v>3632</v>
      </c>
      <c r="C39" s="3764" t="s">
        <v>3633</v>
      </c>
      <c r="D39" s="3764" t="s">
        <v>3634</v>
      </c>
      <c r="E39" s="3764">
        <v>7422.4340000000002</v>
      </c>
      <c r="F39" s="3764">
        <v>5937.9471999999996</v>
      </c>
      <c r="G39" s="3764" t="s">
        <v>3468</v>
      </c>
      <c r="H39" s="3764" t="s">
        <v>3469</v>
      </c>
      <c r="I39" s="3765">
        <v>44480</v>
      </c>
      <c r="J39" s="3764">
        <v>844.63229999999999</v>
      </c>
      <c r="K39" s="3764">
        <v>1422</v>
      </c>
      <c r="L39" s="3764">
        <v>106</v>
      </c>
      <c r="M39" s="3764">
        <v>1316</v>
      </c>
      <c r="N39" s="3764" t="s">
        <v>3470</v>
      </c>
      <c r="O39" s="3766">
        <f t="shared" si="0"/>
        <v>7.4542897327707455E-2</v>
      </c>
    </row>
    <row r="40" spans="2:15" ht="66.75" thickBot="1">
      <c r="B40" s="3762" t="s">
        <v>3635</v>
      </c>
      <c r="C40" s="3762" t="s">
        <v>3636</v>
      </c>
      <c r="D40" s="3762" t="s">
        <v>3627</v>
      </c>
      <c r="E40" s="3762">
        <v>6782.77</v>
      </c>
      <c r="F40" s="3762">
        <v>10174.16</v>
      </c>
      <c r="G40" s="3762" t="s">
        <v>3468</v>
      </c>
      <c r="H40" s="3762" t="s">
        <v>2505</v>
      </c>
      <c r="I40" s="3763">
        <v>44433</v>
      </c>
      <c r="J40" s="3762">
        <v>768.14909999999998</v>
      </c>
      <c r="K40" s="3762">
        <v>755</v>
      </c>
      <c r="L40" s="3762">
        <v>284</v>
      </c>
      <c r="M40" s="3762">
        <v>471</v>
      </c>
      <c r="N40" s="3762" t="s">
        <v>3470</v>
      </c>
      <c r="O40" s="3766">
        <f t="shared" si="0"/>
        <v>0.37615894039735098</v>
      </c>
    </row>
    <row r="41" spans="2:15" ht="66.75" thickBot="1">
      <c r="B41" s="3767" t="s">
        <v>3637</v>
      </c>
      <c r="C41" s="3767" t="s">
        <v>3638</v>
      </c>
      <c r="D41" s="3767" t="s">
        <v>3639</v>
      </c>
      <c r="E41" s="3767">
        <v>20000</v>
      </c>
      <c r="F41" s="3767">
        <v>24000</v>
      </c>
      <c r="G41" s="3767" t="s">
        <v>3468</v>
      </c>
      <c r="H41" s="3767" t="s">
        <v>3469</v>
      </c>
      <c r="I41" s="3768">
        <v>43476</v>
      </c>
      <c r="J41" s="3767">
        <v>3271.5038</v>
      </c>
      <c r="K41" s="3767">
        <v>1363</v>
      </c>
      <c r="L41" s="3767" t="s">
        <v>3640</v>
      </c>
      <c r="M41" s="3767" t="s">
        <v>3640</v>
      </c>
      <c r="N41" s="3767" t="s">
        <v>3470</v>
      </c>
      <c r="O41" s="3766" t="e">
        <f t="shared" si="0"/>
        <v>#VALUE!</v>
      </c>
    </row>
    <row r="42" spans="2:15" ht="67.5" thickTop="1" thickBot="1">
      <c r="B42" s="3760" t="s">
        <v>3641</v>
      </c>
      <c r="C42" s="3760" t="s">
        <v>3642</v>
      </c>
      <c r="D42" s="3760" t="s">
        <v>3639</v>
      </c>
      <c r="E42" s="3760">
        <v>38375</v>
      </c>
      <c r="F42" s="3760">
        <v>46050</v>
      </c>
      <c r="G42" s="3760" t="s">
        <v>3468</v>
      </c>
      <c r="H42" s="3760" t="s">
        <v>3469</v>
      </c>
      <c r="I42" s="3761">
        <v>43479</v>
      </c>
      <c r="J42" s="3760">
        <v>10703.6564</v>
      </c>
      <c r="K42" s="3760">
        <v>2324</v>
      </c>
      <c r="L42" s="3760">
        <v>2324</v>
      </c>
      <c r="M42" s="3760">
        <v>0</v>
      </c>
      <c r="N42" s="3760" t="s">
        <v>3470</v>
      </c>
      <c r="O42" s="3766">
        <f t="shared" si="0"/>
        <v>1</v>
      </c>
    </row>
    <row r="43" spans="2:15" ht="66.75" thickBot="1">
      <c r="B43" s="3762" t="s">
        <v>3643</v>
      </c>
      <c r="C43" s="3762" t="s">
        <v>3644</v>
      </c>
      <c r="D43" s="3762" t="s">
        <v>3645</v>
      </c>
      <c r="E43" s="3762">
        <v>47600.14</v>
      </c>
      <c r="F43" s="3762">
        <v>57120.17</v>
      </c>
      <c r="G43" s="3762" t="s">
        <v>3468</v>
      </c>
      <c r="H43" s="3762" t="s">
        <v>3469</v>
      </c>
      <c r="I43" s="3763">
        <v>44172</v>
      </c>
      <c r="J43" s="3762">
        <v>11020.35</v>
      </c>
      <c r="K43" s="3762">
        <v>1929</v>
      </c>
      <c r="L43" s="3762">
        <v>143</v>
      </c>
      <c r="M43" s="3762">
        <v>1786</v>
      </c>
      <c r="N43" s="3762" t="s">
        <v>3470</v>
      </c>
      <c r="O43" s="3766">
        <f t="shared" si="0"/>
        <v>7.4131674442716428E-2</v>
      </c>
    </row>
    <row r="44" spans="2:15" ht="66.75" thickBot="1">
      <c r="B44" s="3764" t="s">
        <v>3646</v>
      </c>
      <c r="C44" s="3764" t="s">
        <v>3647</v>
      </c>
      <c r="D44" s="3764" t="s">
        <v>3648</v>
      </c>
      <c r="E44" s="3764">
        <v>60631.73</v>
      </c>
      <c r="F44" s="3764">
        <v>60631</v>
      </c>
      <c r="G44" s="3764" t="s">
        <v>3468</v>
      </c>
      <c r="H44" s="3764" t="s">
        <v>3469</v>
      </c>
      <c r="I44" s="3765">
        <v>44433</v>
      </c>
      <c r="J44" s="3764">
        <v>9621.0169000000005</v>
      </c>
      <c r="K44" s="3764">
        <v>1587</v>
      </c>
      <c r="L44" s="3764">
        <v>123</v>
      </c>
      <c r="M44" s="3764">
        <v>1464</v>
      </c>
      <c r="N44" s="3764" t="s">
        <v>3470</v>
      </c>
      <c r="O44" s="3766">
        <f t="shared" si="0"/>
        <v>7.7504725897920609E-2</v>
      </c>
    </row>
    <row r="45" spans="2:15" ht="66.75" thickBot="1">
      <c r="B45" s="3762" t="s">
        <v>3649</v>
      </c>
      <c r="C45" s="3762" t="s">
        <v>3650</v>
      </c>
      <c r="D45" s="3762" t="s">
        <v>3651</v>
      </c>
      <c r="E45" s="3762">
        <v>101126.72</v>
      </c>
      <c r="F45" s="3762">
        <v>151690</v>
      </c>
      <c r="G45" s="3762" t="s">
        <v>3468</v>
      </c>
      <c r="H45" s="3762" t="s">
        <v>3469</v>
      </c>
      <c r="I45" s="3763">
        <v>44963</v>
      </c>
      <c r="J45" s="3762">
        <v>22186.847000000002</v>
      </c>
      <c r="K45" s="3762">
        <v>1463</v>
      </c>
      <c r="L45" s="3762">
        <v>113</v>
      </c>
      <c r="M45" s="3762">
        <v>1350</v>
      </c>
      <c r="N45" s="3762" t="s">
        <v>3470</v>
      </c>
      <c r="O45" s="3766">
        <f t="shared" si="0"/>
        <v>7.7238550922761454E-2</v>
      </c>
    </row>
  </sheetData>
  <mergeCells count="11">
    <mergeCell ref="O1:O2"/>
    <mergeCell ref="I1:I2"/>
    <mergeCell ref="K1:K2"/>
    <mergeCell ref="L1:L2"/>
    <mergeCell ref="N1:N2"/>
    <mergeCell ref="H1:H2"/>
    <mergeCell ref="A1:A2"/>
    <mergeCell ref="B1:B2"/>
    <mergeCell ref="C1:C2"/>
    <mergeCell ref="D1:D2"/>
    <mergeCell ref="G1:G2"/>
  </mergeCells>
  <phoneticPr fontId="22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activeCell="J3" sqref="J3:J15"/>
    </sheetView>
  </sheetViews>
  <sheetFormatPr defaultRowHeight="13.5"/>
  <cols>
    <col min="1" max="1" width="5" style="3747" customWidth="1"/>
    <col min="2" max="2" width="26.625" style="3747" customWidth="1"/>
    <col min="3" max="4" width="11.37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21" ht="33" customHeight="1">
      <c r="A1" s="4216" t="s">
        <v>1729</v>
      </c>
      <c r="B1" s="4216" t="s">
        <v>1548</v>
      </c>
      <c r="C1" s="4217" t="s">
        <v>3524</v>
      </c>
      <c r="D1" s="4217" t="s">
        <v>3526</v>
      </c>
      <c r="E1" s="4216" t="s">
        <v>3441</v>
      </c>
      <c r="F1" s="4216" t="s">
        <v>3442</v>
      </c>
      <c r="G1" s="4216" t="s">
        <v>3461</v>
      </c>
      <c r="H1" s="4216" t="s">
        <v>3462</v>
      </c>
      <c r="I1" s="4217" t="s">
        <v>3463</v>
      </c>
      <c r="J1" s="4216" t="s">
        <v>3662</v>
      </c>
    </row>
    <row r="2" spans="1:21" ht="17.25" customHeight="1" thickBot="1">
      <c r="A2" s="4216"/>
      <c r="B2" s="4216"/>
      <c r="C2" s="4218"/>
      <c r="D2" s="4218"/>
      <c r="E2" s="4216"/>
      <c r="F2" s="4216"/>
      <c r="G2" s="4216"/>
      <c r="H2" s="4216"/>
      <c r="I2" s="4218"/>
      <c r="J2" s="4216"/>
    </row>
    <row r="3" spans="1:21" ht="50.25" thickBot="1">
      <c r="A3" s="3780">
        <v>1</v>
      </c>
      <c r="B3" s="3780" t="s">
        <v>3529</v>
      </c>
      <c r="C3" s="3780">
        <v>132895.59</v>
      </c>
      <c r="D3" s="3780">
        <v>132895.59</v>
      </c>
      <c r="E3" s="3780" t="s">
        <v>3469</v>
      </c>
      <c r="F3" s="3781">
        <v>44350</v>
      </c>
      <c r="G3" s="3780">
        <v>1349</v>
      </c>
      <c r="H3" s="3780">
        <v>108</v>
      </c>
      <c r="I3" s="3780">
        <v>1241</v>
      </c>
      <c r="J3" s="3782">
        <f>H3/G3</f>
        <v>8.0059303187546324E-2</v>
      </c>
      <c r="L3" s="3776" t="s">
        <v>1729</v>
      </c>
      <c r="M3" s="3777" t="s">
        <v>1548</v>
      </c>
      <c r="N3" s="3777" t="s">
        <v>3440</v>
      </c>
      <c r="O3" s="3777" t="s">
        <v>3441</v>
      </c>
      <c r="P3" s="3777" t="s">
        <v>1550</v>
      </c>
      <c r="Q3" s="3777" t="s">
        <v>3442</v>
      </c>
      <c r="R3" s="3777" t="s">
        <v>3443</v>
      </c>
      <c r="S3" s="3777" t="s">
        <v>3444</v>
      </c>
      <c r="T3" s="3777" t="s">
        <v>3445</v>
      </c>
      <c r="U3" s="3777" t="s">
        <v>3661</v>
      </c>
    </row>
    <row r="4" spans="1:21" ht="49.5">
      <c r="A4" s="3780">
        <v>2</v>
      </c>
      <c r="B4" s="3780" t="s">
        <v>3552</v>
      </c>
      <c r="C4" s="3780">
        <v>23200</v>
      </c>
      <c r="D4" s="3780">
        <v>32480</v>
      </c>
      <c r="E4" s="3780" t="s">
        <v>3469</v>
      </c>
      <c r="F4" s="3781">
        <v>44487</v>
      </c>
      <c r="G4" s="3780">
        <v>662</v>
      </c>
      <c r="H4" s="3780">
        <v>629</v>
      </c>
      <c r="I4" s="3780">
        <v>33</v>
      </c>
      <c r="J4" s="3782"/>
    </row>
    <row r="5" spans="1:21" ht="66">
      <c r="A5" s="3780">
        <v>3</v>
      </c>
      <c r="B5" s="3780" t="s">
        <v>3554</v>
      </c>
      <c r="C5" s="3780">
        <v>76366.376999999993</v>
      </c>
      <c r="D5" s="3780">
        <v>114549.56600000001</v>
      </c>
      <c r="E5" s="3780" t="s">
        <v>3469</v>
      </c>
      <c r="F5" s="3781">
        <v>44630</v>
      </c>
      <c r="G5" s="3780">
        <v>998</v>
      </c>
      <c r="H5" s="3780">
        <v>200</v>
      </c>
      <c r="I5" s="3780">
        <v>798</v>
      </c>
      <c r="J5" s="3782">
        <f t="shared" ref="J5:J15" si="0">H5/G5</f>
        <v>0.20040080160320642</v>
      </c>
    </row>
    <row r="6" spans="1:21" ht="49.5">
      <c r="A6" s="3780">
        <v>4</v>
      </c>
      <c r="B6" s="3780" t="s">
        <v>3555</v>
      </c>
      <c r="C6" s="3780">
        <v>52790.031999999999</v>
      </c>
      <c r="D6" s="3780">
        <v>79185.047999999995</v>
      </c>
      <c r="E6" s="3780" t="s">
        <v>3469</v>
      </c>
      <c r="F6" s="3781">
        <v>44868</v>
      </c>
      <c r="G6" s="3780">
        <v>1191</v>
      </c>
      <c r="H6" s="3780">
        <v>70</v>
      </c>
      <c r="I6" s="3780">
        <v>1121</v>
      </c>
      <c r="J6" s="3782"/>
    </row>
    <row r="7" spans="1:21" ht="49.5">
      <c r="A7" s="3780">
        <v>5</v>
      </c>
      <c r="B7" s="3778" t="s">
        <v>3626</v>
      </c>
      <c r="C7" s="3778">
        <v>23652.307000000001</v>
      </c>
      <c r="D7" s="3778">
        <v>23652.307000000001</v>
      </c>
      <c r="E7" s="3778" t="s">
        <v>3469</v>
      </c>
      <c r="F7" s="3783">
        <v>44480</v>
      </c>
      <c r="G7" s="3778">
        <v>1137</v>
      </c>
      <c r="H7" s="3778">
        <v>85</v>
      </c>
      <c r="I7" s="3778">
        <v>1052</v>
      </c>
      <c r="J7" s="3782">
        <f t="shared" si="0"/>
        <v>7.4758135444151275E-2</v>
      </c>
    </row>
    <row r="8" spans="1:21" ht="33">
      <c r="A8" s="3780">
        <v>6</v>
      </c>
      <c r="B8" s="3780" t="s">
        <v>3629</v>
      </c>
      <c r="C8" s="3780">
        <v>57488.822999999997</v>
      </c>
      <c r="D8" s="3780">
        <v>86233.233999999997</v>
      </c>
      <c r="E8" s="3780" t="s">
        <v>3469</v>
      </c>
      <c r="F8" s="3781">
        <v>44480</v>
      </c>
      <c r="G8" s="3780">
        <v>909</v>
      </c>
      <c r="H8" s="3780">
        <v>68</v>
      </c>
      <c r="I8" s="3780">
        <v>841</v>
      </c>
      <c r="J8" s="3782">
        <f t="shared" si="0"/>
        <v>7.4807480748074806E-2</v>
      </c>
    </row>
    <row r="9" spans="1:21" ht="33">
      <c r="A9" s="3780">
        <v>7</v>
      </c>
      <c r="B9" s="3780" t="s">
        <v>3631</v>
      </c>
      <c r="C9" s="3780">
        <v>23170.403999999999</v>
      </c>
      <c r="D9" s="3780">
        <v>23170.403999999999</v>
      </c>
      <c r="E9" s="3780" t="s">
        <v>3469</v>
      </c>
      <c r="F9" s="3781">
        <v>44480</v>
      </c>
      <c r="G9" s="3780">
        <v>1136</v>
      </c>
      <c r="H9" s="3780">
        <v>84</v>
      </c>
      <c r="I9" s="3780">
        <v>1052</v>
      </c>
      <c r="J9" s="3782">
        <f t="shared" si="0"/>
        <v>7.3943661971830985E-2</v>
      </c>
    </row>
    <row r="10" spans="1:21" ht="33">
      <c r="A10" s="3780">
        <v>8</v>
      </c>
      <c r="B10" s="3780" t="s">
        <v>3633</v>
      </c>
      <c r="C10" s="3780">
        <v>7422.4340000000002</v>
      </c>
      <c r="D10" s="3780">
        <v>5937.9471999999996</v>
      </c>
      <c r="E10" s="3780" t="s">
        <v>3469</v>
      </c>
      <c r="F10" s="3781">
        <v>44480</v>
      </c>
      <c r="G10" s="3780">
        <v>1422</v>
      </c>
      <c r="H10" s="3780">
        <v>106</v>
      </c>
      <c r="I10" s="3780">
        <v>1316</v>
      </c>
      <c r="J10" s="3782">
        <f t="shared" si="0"/>
        <v>7.4542897327707455E-2</v>
      </c>
    </row>
    <row r="11" spans="1:21" ht="33">
      <c r="A11" s="3780">
        <v>9</v>
      </c>
      <c r="B11" s="3780" t="s">
        <v>3636</v>
      </c>
      <c r="C11" s="3780">
        <v>6782.77</v>
      </c>
      <c r="D11" s="3780">
        <v>10174.16</v>
      </c>
      <c r="E11" s="3780" t="s">
        <v>2505</v>
      </c>
      <c r="F11" s="3781">
        <v>44433</v>
      </c>
      <c r="G11" s="3780">
        <v>755</v>
      </c>
      <c r="H11" s="3780">
        <v>284</v>
      </c>
      <c r="I11" s="3780">
        <v>471</v>
      </c>
      <c r="J11" s="3782">
        <f t="shared" si="0"/>
        <v>0.37615894039735098</v>
      </c>
    </row>
    <row r="12" spans="1:21" ht="33">
      <c r="A12" s="3780">
        <v>10</v>
      </c>
      <c r="B12" s="3780" t="s">
        <v>3642</v>
      </c>
      <c r="C12" s="3780">
        <v>38375</v>
      </c>
      <c r="D12" s="3780">
        <v>46050</v>
      </c>
      <c r="E12" s="3780" t="s">
        <v>3469</v>
      </c>
      <c r="F12" s="3781">
        <v>43479</v>
      </c>
      <c r="G12" s="3780">
        <v>2324</v>
      </c>
      <c r="H12" s="3780">
        <v>2324</v>
      </c>
      <c r="I12" s="3780">
        <v>0</v>
      </c>
      <c r="J12" s="3782"/>
    </row>
    <row r="13" spans="1:21" ht="33">
      <c r="A13" s="3780">
        <v>11</v>
      </c>
      <c r="B13" s="3780" t="s">
        <v>3644</v>
      </c>
      <c r="C13" s="3780">
        <v>47600.14</v>
      </c>
      <c r="D13" s="3780">
        <v>57120.17</v>
      </c>
      <c r="E13" s="3780" t="s">
        <v>3469</v>
      </c>
      <c r="F13" s="3781">
        <v>44172</v>
      </c>
      <c r="G13" s="3780">
        <v>1929</v>
      </c>
      <c r="H13" s="3780">
        <v>143</v>
      </c>
      <c r="I13" s="3780">
        <v>1786</v>
      </c>
      <c r="J13" s="3782">
        <f t="shared" si="0"/>
        <v>7.4131674442716428E-2</v>
      </c>
    </row>
    <row r="14" spans="1:21" ht="49.5">
      <c r="A14" s="3780">
        <v>12</v>
      </c>
      <c r="B14" s="3780" t="s">
        <v>3647</v>
      </c>
      <c r="C14" s="3780">
        <v>60631.73</v>
      </c>
      <c r="D14" s="3780">
        <v>60631</v>
      </c>
      <c r="E14" s="3780" t="s">
        <v>3469</v>
      </c>
      <c r="F14" s="3781">
        <v>44433</v>
      </c>
      <c r="G14" s="3780">
        <v>1587</v>
      </c>
      <c r="H14" s="3780">
        <v>123</v>
      </c>
      <c r="I14" s="3780">
        <v>1464</v>
      </c>
      <c r="J14" s="3782">
        <f t="shared" si="0"/>
        <v>7.7504725897920609E-2</v>
      </c>
    </row>
    <row r="15" spans="1:21" ht="49.5">
      <c r="A15" s="3780">
        <v>13</v>
      </c>
      <c r="B15" s="3780" t="s">
        <v>3650</v>
      </c>
      <c r="C15" s="3780">
        <v>101126.72</v>
      </c>
      <c r="D15" s="3780">
        <v>151690</v>
      </c>
      <c r="E15" s="3780" t="s">
        <v>3469</v>
      </c>
      <c r="F15" s="3781">
        <v>44963</v>
      </c>
      <c r="G15" s="3780">
        <v>1463</v>
      </c>
      <c r="H15" s="3780">
        <v>113</v>
      </c>
      <c r="I15" s="3780">
        <v>1350</v>
      </c>
      <c r="J15" s="3782">
        <f t="shared" si="0"/>
        <v>7.7238550922761454E-2</v>
      </c>
    </row>
  </sheetData>
  <mergeCells count="10">
    <mergeCell ref="G1:G2"/>
    <mergeCell ref="H1:H2"/>
    <mergeCell ref="J1:J2"/>
    <mergeCell ref="C1:C2"/>
    <mergeCell ref="I1:I2"/>
    <mergeCell ref="A1:A2"/>
    <mergeCell ref="B1:B2"/>
    <mergeCell ref="D1:D2"/>
    <mergeCell ref="E1:E2"/>
    <mergeCell ref="F1:F2"/>
  </mergeCells>
  <phoneticPr fontId="224"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6" zoomScale="70" zoomScaleNormal="70" workbookViewId="0">
      <selection activeCell="M24" sqref="M24"/>
    </sheetView>
  </sheetViews>
  <sheetFormatPr defaultRowHeight="13.5"/>
  <cols>
    <col min="1" max="1" width="5" style="3747" customWidth="1"/>
    <col min="2" max="2" width="26.625" style="3747" customWidth="1"/>
    <col min="3" max="4" width="9.875" style="3747" bestFit="1" customWidth="1"/>
    <col min="5" max="5" width="9" style="3747"/>
    <col min="6" max="6" width="15.5" style="3747" customWidth="1"/>
    <col min="7" max="8" width="9.125" style="3747" bestFit="1" customWidth="1"/>
    <col min="9" max="9" width="9" style="3747" customWidth="1"/>
    <col min="10" max="10" width="9.5" style="3747" bestFit="1" customWidth="1"/>
    <col min="11" max="16384" width="9" style="3747"/>
  </cols>
  <sheetData>
    <row r="1" spans="1:10" ht="33">
      <c r="A1" s="4216" t="s">
        <v>1729</v>
      </c>
      <c r="B1" s="4216" t="s">
        <v>1548</v>
      </c>
      <c r="C1" s="3778" t="s">
        <v>3524</v>
      </c>
      <c r="D1" s="3778" t="s">
        <v>3526</v>
      </c>
      <c r="E1" s="4216" t="s">
        <v>3441</v>
      </c>
      <c r="F1" s="4216" t="s">
        <v>3442</v>
      </c>
      <c r="G1" s="4216" t="s">
        <v>3461</v>
      </c>
      <c r="H1" s="4216" t="s">
        <v>3462</v>
      </c>
      <c r="I1" s="3778" t="s">
        <v>3463</v>
      </c>
      <c r="J1" s="4216" t="s">
        <v>3662</v>
      </c>
    </row>
    <row r="2" spans="1:10" ht="16.5">
      <c r="A2" s="4216"/>
      <c r="B2" s="4216"/>
      <c r="C2" s="3778" t="s">
        <v>3525</v>
      </c>
      <c r="D2" s="3778" t="s">
        <v>3527</v>
      </c>
      <c r="E2" s="4216"/>
      <c r="F2" s="4216"/>
      <c r="G2" s="4216"/>
      <c r="H2" s="4216"/>
      <c r="I2" s="3778" t="s">
        <v>3464</v>
      </c>
      <c r="J2" s="4216"/>
    </row>
    <row r="3" spans="1:10" ht="49.5">
      <c r="A3" s="3780">
        <v>1</v>
      </c>
      <c r="B3" s="3780" t="s">
        <v>3532</v>
      </c>
      <c r="C3" s="3780">
        <v>32265.9</v>
      </c>
      <c r="D3" s="3780">
        <v>38719.08</v>
      </c>
      <c r="E3" s="3780" t="s">
        <v>3469</v>
      </c>
      <c r="F3" s="3781">
        <v>44335</v>
      </c>
      <c r="G3" s="3780">
        <v>666</v>
      </c>
      <c r="H3" s="3780">
        <v>100</v>
      </c>
      <c r="I3" s="3780">
        <v>566</v>
      </c>
      <c r="J3" s="3782">
        <f t="shared" ref="J3:J29" si="0">H3/G3</f>
        <v>0.15015015015015015</v>
      </c>
    </row>
    <row r="4" spans="1:10" ht="33">
      <c r="A4" s="3780">
        <v>2</v>
      </c>
      <c r="B4" s="3780" t="s">
        <v>3535</v>
      </c>
      <c r="C4" s="3780">
        <v>13006.3</v>
      </c>
      <c r="D4" s="3780">
        <v>9104.41</v>
      </c>
      <c r="E4" s="3780" t="s">
        <v>3469</v>
      </c>
      <c r="F4" s="3781">
        <v>44446</v>
      </c>
      <c r="G4" s="3780">
        <v>816</v>
      </c>
      <c r="H4" s="3780">
        <v>122</v>
      </c>
      <c r="I4" s="3780">
        <v>693</v>
      </c>
      <c r="J4" s="3782">
        <f t="shared" si="0"/>
        <v>0.14950980392156862</v>
      </c>
    </row>
    <row r="5" spans="1:10" ht="33">
      <c r="A5" s="3780">
        <v>3</v>
      </c>
      <c r="B5" s="3780" t="s">
        <v>3537</v>
      </c>
      <c r="C5" s="3780">
        <v>7844</v>
      </c>
      <c r="D5" s="3780">
        <v>11766</v>
      </c>
      <c r="E5" s="3780" t="s">
        <v>3469</v>
      </c>
      <c r="F5" s="3781">
        <v>44466</v>
      </c>
      <c r="G5" s="3780">
        <v>726</v>
      </c>
      <c r="H5" s="3780">
        <v>109</v>
      </c>
      <c r="I5" s="3780">
        <v>617</v>
      </c>
      <c r="J5" s="3782">
        <f t="shared" si="0"/>
        <v>0.15013774104683195</v>
      </c>
    </row>
    <row r="6" spans="1:10" ht="49.5">
      <c r="A6" s="3780">
        <v>4</v>
      </c>
      <c r="B6" s="3780" t="s">
        <v>3541</v>
      </c>
      <c r="C6" s="3780">
        <v>95015.4</v>
      </c>
      <c r="D6" s="3780">
        <v>180529.26</v>
      </c>
      <c r="E6" s="3780" t="s">
        <v>3469</v>
      </c>
      <c r="F6" s="3781">
        <v>44553</v>
      </c>
      <c r="G6" s="3780">
        <v>571</v>
      </c>
      <c r="H6" s="3780">
        <v>86</v>
      </c>
      <c r="I6" s="3780">
        <v>485</v>
      </c>
      <c r="J6" s="3782">
        <f t="shared" si="0"/>
        <v>0.15061295971978983</v>
      </c>
    </row>
    <row r="7" spans="1:10" ht="49.5">
      <c r="A7" s="3780">
        <v>5</v>
      </c>
      <c r="B7" s="3780" t="s">
        <v>3543</v>
      </c>
      <c r="C7" s="3780">
        <v>40148.6</v>
      </c>
      <c r="D7" s="3780">
        <v>60222.9</v>
      </c>
      <c r="E7" s="3780" t="s">
        <v>3469</v>
      </c>
      <c r="F7" s="3781">
        <v>44600</v>
      </c>
      <c r="G7" s="3780">
        <v>571</v>
      </c>
      <c r="H7" s="3780">
        <v>86</v>
      </c>
      <c r="I7" s="3780">
        <v>485</v>
      </c>
      <c r="J7" s="3782">
        <f t="shared" si="0"/>
        <v>0.15061295971978983</v>
      </c>
    </row>
    <row r="8" spans="1:10" ht="33">
      <c r="A8" s="3780">
        <v>6</v>
      </c>
      <c r="B8" s="3780" t="s">
        <v>3560</v>
      </c>
      <c r="C8" s="3780">
        <v>23044.5</v>
      </c>
      <c r="D8" s="3780">
        <v>46089</v>
      </c>
      <c r="E8" s="3780" t="s">
        <v>3469</v>
      </c>
      <c r="F8" s="3781">
        <v>44266</v>
      </c>
      <c r="G8" s="3780">
        <v>726</v>
      </c>
      <c r="H8" s="3780">
        <v>109</v>
      </c>
      <c r="I8" s="3780">
        <v>617</v>
      </c>
      <c r="J8" s="3782">
        <f t="shared" si="0"/>
        <v>0.15013774104683195</v>
      </c>
    </row>
    <row r="9" spans="1:10" ht="33">
      <c r="A9" s="3780">
        <v>7</v>
      </c>
      <c r="B9" s="3780" t="s">
        <v>3566</v>
      </c>
      <c r="C9" s="3780">
        <v>12863.4</v>
      </c>
      <c r="D9" s="3780">
        <v>19295.099999999999</v>
      </c>
      <c r="E9" s="3780" t="s">
        <v>3469</v>
      </c>
      <c r="F9" s="3781">
        <v>44306</v>
      </c>
      <c r="G9" s="3780">
        <v>587</v>
      </c>
      <c r="H9" s="3780">
        <v>88</v>
      </c>
      <c r="I9" s="3780">
        <v>499</v>
      </c>
      <c r="J9" s="3782">
        <f t="shared" si="0"/>
        <v>0.14991482112436116</v>
      </c>
    </row>
    <row r="10" spans="1:10" ht="49.5">
      <c r="A10" s="3780">
        <v>8</v>
      </c>
      <c r="B10" s="3780" t="s">
        <v>3532</v>
      </c>
      <c r="C10" s="3780">
        <v>32265.9</v>
      </c>
      <c r="D10" s="3780">
        <v>38719.08</v>
      </c>
      <c r="E10" s="3780" t="s">
        <v>3469</v>
      </c>
      <c r="F10" s="3781">
        <v>44335</v>
      </c>
      <c r="G10" s="3780">
        <v>666</v>
      </c>
      <c r="H10" s="3780">
        <v>100</v>
      </c>
      <c r="I10" s="3780">
        <v>566</v>
      </c>
      <c r="J10" s="3782">
        <f t="shared" si="0"/>
        <v>0.15015015015015015</v>
      </c>
    </row>
    <row r="11" spans="1:10" ht="33">
      <c r="A11" s="3780">
        <v>9</v>
      </c>
      <c r="B11" s="3780" t="s">
        <v>3570</v>
      </c>
      <c r="C11" s="3780">
        <v>145654</v>
      </c>
      <c r="D11" s="3780">
        <v>356072.51</v>
      </c>
      <c r="E11" s="3780" t="s">
        <v>3469</v>
      </c>
      <c r="F11" s="3781">
        <v>44343</v>
      </c>
      <c r="G11" s="3780">
        <v>1080</v>
      </c>
      <c r="H11" s="3780">
        <v>162</v>
      </c>
      <c r="I11" s="3780">
        <v>918</v>
      </c>
      <c r="J11" s="3782">
        <f t="shared" si="0"/>
        <v>0.15</v>
      </c>
    </row>
    <row r="12" spans="1:10" ht="49.5">
      <c r="A12" s="3780">
        <v>10</v>
      </c>
      <c r="B12" s="3780" t="s">
        <v>3573</v>
      </c>
      <c r="C12" s="3780">
        <v>128009.8</v>
      </c>
      <c r="D12" s="3780">
        <v>256019.6</v>
      </c>
      <c r="E12" s="3780" t="s">
        <v>3469</v>
      </c>
      <c r="F12" s="3781">
        <v>44349</v>
      </c>
      <c r="G12" s="3780">
        <v>571</v>
      </c>
      <c r="H12" s="3780">
        <v>86</v>
      </c>
      <c r="I12" s="3780">
        <v>485</v>
      </c>
      <c r="J12" s="3782">
        <f t="shared" si="0"/>
        <v>0.15061295971978983</v>
      </c>
    </row>
    <row r="13" spans="1:10" ht="33">
      <c r="A13" s="3780">
        <v>11</v>
      </c>
      <c r="B13" s="3780" t="s">
        <v>3576</v>
      </c>
      <c r="C13" s="3780">
        <v>106037.9</v>
      </c>
      <c r="D13" s="3780">
        <v>212075.8</v>
      </c>
      <c r="E13" s="3780" t="s">
        <v>3469</v>
      </c>
      <c r="F13" s="3781">
        <v>44424</v>
      </c>
      <c r="G13" s="3780">
        <v>1008</v>
      </c>
      <c r="H13" s="3780">
        <v>151</v>
      </c>
      <c r="I13" s="3780">
        <v>857</v>
      </c>
      <c r="J13" s="3782">
        <f t="shared" si="0"/>
        <v>0.1498015873015873</v>
      </c>
    </row>
    <row r="14" spans="1:10" ht="33">
      <c r="A14" s="3780">
        <v>12</v>
      </c>
      <c r="B14" s="3780" t="s">
        <v>3579</v>
      </c>
      <c r="C14" s="3780">
        <v>49454.7</v>
      </c>
      <c r="D14" s="3780">
        <v>98909.4</v>
      </c>
      <c r="E14" s="3780" t="s">
        <v>3469</v>
      </c>
      <c r="F14" s="3781">
        <v>44454</v>
      </c>
      <c r="G14" s="3780">
        <v>652</v>
      </c>
      <c r="H14" s="3780">
        <v>98</v>
      </c>
      <c r="I14" s="3780">
        <v>554</v>
      </c>
      <c r="J14" s="3782">
        <f t="shared" si="0"/>
        <v>0.15030674846625766</v>
      </c>
    </row>
    <row r="15" spans="1:10" ht="33">
      <c r="A15" s="3780">
        <v>13</v>
      </c>
      <c r="B15" s="3780" t="s">
        <v>3582</v>
      </c>
      <c r="C15" s="3780">
        <v>82052.600000000006</v>
      </c>
      <c r="D15" s="3780">
        <v>155899.94</v>
      </c>
      <c r="E15" s="3780" t="s">
        <v>3469</v>
      </c>
      <c r="F15" s="3781">
        <v>44466</v>
      </c>
      <c r="G15" s="3780">
        <v>1080</v>
      </c>
      <c r="H15" s="3780">
        <v>162</v>
      </c>
      <c r="I15" s="3780">
        <v>918</v>
      </c>
      <c r="J15" s="3782">
        <f t="shared" si="0"/>
        <v>0.15</v>
      </c>
    </row>
    <row r="16" spans="1:10" ht="33">
      <c r="A16" s="3780">
        <v>14</v>
      </c>
      <c r="B16" s="3780" t="s">
        <v>3585</v>
      </c>
      <c r="C16" s="3780">
        <v>718046.1</v>
      </c>
      <c r="D16" s="3780">
        <v>646241.49</v>
      </c>
      <c r="E16" s="3780" t="s">
        <v>3469</v>
      </c>
      <c r="F16" s="3781">
        <v>44671</v>
      </c>
      <c r="G16" s="3780">
        <v>944</v>
      </c>
      <c r="H16" s="3780">
        <v>142</v>
      </c>
      <c r="I16" s="3780">
        <v>803</v>
      </c>
      <c r="J16" s="3782">
        <f t="shared" si="0"/>
        <v>0.15042372881355931</v>
      </c>
    </row>
    <row r="17" spans="1:10" ht="33">
      <c r="A17" s="3780">
        <v>15</v>
      </c>
      <c r="B17" s="3778" t="s">
        <v>3588</v>
      </c>
      <c r="C17" s="3778">
        <v>21090.2</v>
      </c>
      <c r="D17" s="3778">
        <v>32478.9</v>
      </c>
      <c r="E17" s="3778" t="s">
        <v>3469</v>
      </c>
      <c r="F17" s="3783">
        <v>44671</v>
      </c>
      <c r="G17" s="3778">
        <v>666</v>
      </c>
      <c r="H17" s="3778">
        <v>100</v>
      </c>
      <c r="I17" s="3778">
        <v>566</v>
      </c>
      <c r="J17" s="3782">
        <f t="shared" si="0"/>
        <v>0.15015015015015015</v>
      </c>
    </row>
    <row r="18" spans="1:10" ht="33">
      <c r="A18" s="3780">
        <v>16</v>
      </c>
      <c r="B18" s="3780" t="s">
        <v>3591</v>
      </c>
      <c r="C18" s="3780">
        <v>103092.9</v>
      </c>
      <c r="D18" s="3780">
        <v>175257.93</v>
      </c>
      <c r="E18" s="3780" t="s">
        <v>3469</v>
      </c>
      <c r="F18" s="3781">
        <v>44699</v>
      </c>
      <c r="G18" s="3780">
        <v>587</v>
      </c>
      <c r="H18" s="3780">
        <v>88</v>
      </c>
      <c r="I18" s="3780">
        <v>499</v>
      </c>
      <c r="J18" s="3782">
        <f t="shared" si="0"/>
        <v>0.14991482112436116</v>
      </c>
    </row>
    <row r="19" spans="1:10" ht="33">
      <c r="A19" s="3780">
        <v>17</v>
      </c>
      <c r="B19" s="3780" t="s">
        <v>3594</v>
      </c>
      <c r="C19" s="3780">
        <v>30589.9</v>
      </c>
      <c r="D19" s="3780">
        <v>45884.85</v>
      </c>
      <c r="E19" s="3780" t="s">
        <v>3469</v>
      </c>
      <c r="F19" s="3781">
        <v>44713</v>
      </c>
      <c r="G19" s="3780">
        <v>571</v>
      </c>
      <c r="H19" s="3780">
        <v>86</v>
      </c>
      <c r="I19" s="3780">
        <v>485</v>
      </c>
      <c r="J19" s="3782">
        <f t="shared" si="0"/>
        <v>0.15061295971978983</v>
      </c>
    </row>
    <row r="20" spans="1:10" ht="33">
      <c r="A20" s="3780">
        <v>18</v>
      </c>
      <c r="B20" s="3780" t="s">
        <v>3597</v>
      </c>
      <c r="C20" s="3780">
        <v>113291.7</v>
      </c>
      <c r="D20" s="3780">
        <v>113291.7</v>
      </c>
      <c r="E20" s="3780" t="s">
        <v>3469</v>
      </c>
      <c r="F20" s="3781">
        <v>44713</v>
      </c>
      <c r="G20" s="3780">
        <v>587</v>
      </c>
      <c r="H20" s="3780">
        <v>88</v>
      </c>
      <c r="I20" s="3780">
        <v>499</v>
      </c>
      <c r="J20" s="3782">
        <f t="shared" si="0"/>
        <v>0.14991482112436116</v>
      </c>
    </row>
    <row r="21" spans="1:10" ht="33">
      <c r="A21" s="3780">
        <v>19</v>
      </c>
      <c r="B21" s="3780" t="s">
        <v>3600</v>
      </c>
      <c r="C21" s="3780">
        <v>7506.5</v>
      </c>
      <c r="D21" s="3780">
        <v>11259.75</v>
      </c>
      <c r="E21" s="3780" t="s">
        <v>3469</v>
      </c>
      <c r="F21" s="3781">
        <v>44788</v>
      </c>
      <c r="G21" s="3780">
        <v>1008</v>
      </c>
      <c r="H21" s="3780">
        <v>151</v>
      </c>
      <c r="I21" s="3780">
        <v>857</v>
      </c>
      <c r="J21" s="3782">
        <f t="shared" si="0"/>
        <v>0.1498015873015873</v>
      </c>
    </row>
    <row r="22" spans="1:10" ht="33">
      <c r="A22" s="3780">
        <v>20</v>
      </c>
      <c r="B22" s="3780" t="s">
        <v>3603</v>
      </c>
      <c r="C22" s="3780">
        <v>15975.8</v>
      </c>
      <c r="D22" s="3780">
        <v>23963.7</v>
      </c>
      <c r="E22" s="3780" t="s">
        <v>3469</v>
      </c>
      <c r="F22" s="3781">
        <v>44788</v>
      </c>
      <c r="G22" s="3780">
        <v>571</v>
      </c>
      <c r="H22" s="3780">
        <v>0</v>
      </c>
      <c r="I22" s="3780">
        <v>571</v>
      </c>
      <c r="J22" s="3782">
        <f t="shared" si="0"/>
        <v>0</v>
      </c>
    </row>
    <row r="23" spans="1:10" ht="33">
      <c r="A23" s="3780">
        <v>21</v>
      </c>
      <c r="B23" s="3780" t="s">
        <v>3605</v>
      </c>
      <c r="C23" s="3780">
        <v>26316.6</v>
      </c>
      <c r="D23" s="3780">
        <v>30264.09</v>
      </c>
      <c r="E23" s="3780" t="s">
        <v>3469</v>
      </c>
      <c r="F23" s="3781">
        <v>44809</v>
      </c>
      <c r="G23" s="3780">
        <v>652</v>
      </c>
      <c r="H23" s="3780">
        <v>98</v>
      </c>
      <c r="I23" s="3780">
        <v>554</v>
      </c>
      <c r="J23" s="3782">
        <f t="shared" si="0"/>
        <v>0.15030674846625766</v>
      </c>
    </row>
    <row r="24" spans="1:10" ht="33">
      <c r="A24" s="3780">
        <v>22</v>
      </c>
      <c r="B24" s="3780" t="s">
        <v>3608</v>
      </c>
      <c r="C24" s="3780">
        <v>10526.1</v>
      </c>
      <c r="D24" s="3780">
        <v>12631.32</v>
      </c>
      <c r="E24" s="3780" t="s">
        <v>3469</v>
      </c>
      <c r="F24" s="3781">
        <v>44809</v>
      </c>
      <c r="G24" s="3780">
        <v>652</v>
      </c>
      <c r="H24" s="3780">
        <v>-677</v>
      </c>
      <c r="I24" s="3780">
        <v>1329</v>
      </c>
      <c r="J24" s="3782">
        <f t="shared" si="0"/>
        <v>-1.0383435582822085</v>
      </c>
    </row>
    <row r="25" spans="1:10" ht="33">
      <c r="A25" s="3780">
        <v>23</v>
      </c>
      <c r="B25" s="3780" t="s">
        <v>3611</v>
      </c>
      <c r="C25" s="3780">
        <v>19670.8</v>
      </c>
      <c r="D25" s="3780">
        <v>29506.2</v>
      </c>
      <c r="E25" s="3780" t="s">
        <v>3469</v>
      </c>
      <c r="F25" s="3781">
        <v>44860</v>
      </c>
      <c r="G25" s="3780">
        <v>571</v>
      </c>
      <c r="H25" s="3780">
        <v>86</v>
      </c>
      <c r="I25" s="3780">
        <v>485</v>
      </c>
      <c r="J25" s="3782">
        <f t="shared" si="0"/>
        <v>0.15061295971978983</v>
      </c>
    </row>
    <row r="26" spans="1:10" ht="33">
      <c r="A26" s="3780">
        <v>24</v>
      </c>
      <c r="B26" s="3780" t="s">
        <v>3613</v>
      </c>
      <c r="C26" s="3780">
        <v>24526.2</v>
      </c>
      <c r="D26" s="3780">
        <v>49052.4</v>
      </c>
      <c r="E26" s="3780" t="s">
        <v>3469</v>
      </c>
      <c r="F26" s="3781">
        <v>44860</v>
      </c>
      <c r="G26" s="3780">
        <v>571</v>
      </c>
      <c r="H26" s="3780">
        <v>86</v>
      </c>
      <c r="I26" s="3780">
        <v>485</v>
      </c>
      <c r="J26" s="3782">
        <f t="shared" si="0"/>
        <v>0.15061295971978983</v>
      </c>
    </row>
    <row r="27" spans="1:10" ht="33">
      <c r="A27" s="3780">
        <v>25</v>
      </c>
      <c r="B27" s="3780" t="s">
        <v>3616</v>
      </c>
      <c r="C27" s="3780">
        <v>25334.799999999999</v>
      </c>
      <c r="D27" s="3780">
        <v>38002.199999999997</v>
      </c>
      <c r="E27" s="3780" t="s">
        <v>3469</v>
      </c>
      <c r="F27" s="3781">
        <v>44931</v>
      </c>
      <c r="G27" s="3780">
        <v>571</v>
      </c>
      <c r="H27" s="3780">
        <v>86</v>
      </c>
      <c r="I27" s="3780">
        <v>485</v>
      </c>
      <c r="J27" s="3782">
        <f t="shared" si="0"/>
        <v>0.15061295971978983</v>
      </c>
    </row>
    <row r="28" spans="1:10" ht="33">
      <c r="A28" s="3780">
        <v>26</v>
      </c>
      <c r="B28" s="3780" t="s">
        <v>3619</v>
      </c>
      <c r="C28" s="3780">
        <v>3658.3</v>
      </c>
      <c r="D28" s="3780">
        <v>3900</v>
      </c>
      <c r="E28" s="3780" t="s">
        <v>3469</v>
      </c>
      <c r="F28" s="3781">
        <v>44955</v>
      </c>
      <c r="G28" s="3780">
        <v>946</v>
      </c>
      <c r="H28" s="3780">
        <v>142</v>
      </c>
      <c r="I28" s="3780">
        <v>804</v>
      </c>
      <c r="J28" s="3782">
        <f t="shared" si="0"/>
        <v>0.15010570824524314</v>
      </c>
    </row>
    <row r="29" spans="1:10" ht="33">
      <c r="A29" s="3780">
        <v>27</v>
      </c>
      <c r="B29" s="3780" t="s">
        <v>3623</v>
      </c>
      <c r="C29" s="3780">
        <v>420642.53</v>
      </c>
      <c r="D29" s="3780">
        <v>841285.06</v>
      </c>
      <c r="E29" s="3780" t="s">
        <v>3469</v>
      </c>
      <c r="F29" s="3781">
        <v>44964</v>
      </c>
      <c r="G29" s="3780">
        <v>587</v>
      </c>
      <c r="H29" s="3780">
        <v>88</v>
      </c>
      <c r="I29" s="3780">
        <v>499</v>
      </c>
      <c r="J29" s="3782">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activeCell="L37" sqref="L37"/>
    </sheetView>
  </sheetViews>
  <sheetFormatPr defaultRowHeight="13.5"/>
  <cols>
    <col min="1" max="1" width="5" style="3747" customWidth="1"/>
    <col min="2" max="2" width="26.625" style="3747" customWidth="1"/>
    <col min="3" max="3" width="9.875" style="3747" bestFit="1" customWidth="1"/>
    <col min="4" max="4" width="9.12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10" ht="33">
      <c r="A1" s="4216" t="s">
        <v>1729</v>
      </c>
      <c r="B1" s="4216" t="s">
        <v>1548</v>
      </c>
      <c r="C1" s="3778" t="s">
        <v>3524</v>
      </c>
      <c r="D1" s="3778" t="s">
        <v>3526</v>
      </c>
      <c r="E1" s="4216" t="s">
        <v>3441</v>
      </c>
      <c r="F1" s="4216" t="s">
        <v>3442</v>
      </c>
      <c r="G1" s="4216" t="s">
        <v>3461</v>
      </c>
      <c r="H1" s="4216" t="s">
        <v>3462</v>
      </c>
      <c r="I1" s="3778" t="s">
        <v>3463</v>
      </c>
      <c r="J1" s="4216" t="s">
        <v>3662</v>
      </c>
    </row>
    <row r="2" spans="1:10" ht="16.5">
      <c r="A2" s="4216"/>
      <c r="B2" s="4216"/>
      <c r="C2" s="3778" t="s">
        <v>3525</v>
      </c>
      <c r="D2" s="3778" t="s">
        <v>3527</v>
      </c>
      <c r="E2" s="4216"/>
      <c r="F2" s="4216"/>
      <c r="G2" s="4216"/>
      <c r="H2" s="4216"/>
      <c r="I2" s="3778" t="s">
        <v>3464</v>
      </c>
      <c r="J2" s="4216"/>
    </row>
    <row r="3" spans="1:10" ht="33">
      <c r="A3" s="3779">
        <v>1</v>
      </c>
      <c r="B3" s="3780" t="s">
        <v>3642</v>
      </c>
      <c r="C3" s="3780">
        <v>38375</v>
      </c>
      <c r="D3" s="3780">
        <v>46050</v>
      </c>
      <c r="E3" s="3780" t="s">
        <v>3469</v>
      </c>
      <c r="F3" s="3781">
        <v>43479</v>
      </c>
      <c r="G3" s="3780">
        <v>2324</v>
      </c>
      <c r="H3" s="3780">
        <v>2324</v>
      </c>
      <c r="I3" s="3780">
        <v>0</v>
      </c>
      <c r="J3" s="3782">
        <f t="shared" ref="J3:J6" si="0">H3/G3</f>
        <v>1</v>
      </c>
    </row>
    <row r="4" spans="1:10" ht="33">
      <c r="A4" s="3779">
        <v>2</v>
      </c>
      <c r="B4" s="3780" t="s">
        <v>3644</v>
      </c>
      <c r="C4" s="3780">
        <v>47600.14</v>
      </c>
      <c r="D4" s="3780">
        <v>57120.17</v>
      </c>
      <c r="E4" s="3780" t="s">
        <v>3469</v>
      </c>
      <c r="F4" s="3781">
        <v>44172</v>
      </c>
      <c r="G4" s="3780">
        <v>1929</v>
      </c>
      <c r="H4" s="3780">
        <v>143</v>
      </c>
      <c r="I4" s="3780">
        <v>1786</v>
      </c>
      <c r="J4" s="3782">
        <f t="shared" si="0"/>
        <v>7.4131674442716428E-2</v>
      </c>
    </row>
    <row r="5" spans="1:10" ht="49.5">
      <c r="A5" s="3779">
        <v>3</v>
      </c>
      <c r="B5" s="3780" t="s">
        <v>3647</v>
      </c>
      <c r="C5" s="3780">
        <v>60631.73</v>
      </c>
      <c r="D5" s="3780">
        <v>60631</v>
      </c>
      <c r="E5" s="3780" t="s">
        <v>3469</v>
      </c>
      <c r="F5" s="3781">
        <v>44433</v>
      </c>
      <c r="G5" s="3780">
        <v>1587</v>
      </c>
      <c r="H5" s="3780">
        <v>123</v>
      </c>
      <c r="I5" s="3780">
        <v>1464</v>
      </c>
      <c r="J5" s="3782">
        <f t="shared" si="0"/>
        <v>7.7504725897920609E-2</v>
      </c>
    </row>
    <row r="6" spans="1:10" ht="49.5">
      <c r="A6" s="3779">
        <v>4</v>
      </c>
      <c r="B6" s="3780" t="s">
        <v>3650</v>
      </c>
      <c r="C6" s="3780">
        <v>101126.72</v>
      </c>
      <c r="D6" s="3780">
        <v>151690</v>
      </c>
      <c r="E6" s="3780" t="s">
        <v>3469</v>
      </c>
      <c r="F6" s="3781">
        <v>44963</v>
      </c>
      <c r="G6" s="3780">
        <v>1463</v>
      </c>
      <c r="H6" s="3780">
        <v>113</v>
      </c>
      <c r="I6" s="3780">
        <v>1350</v>
      </c>
      <c r="J6" s="3782">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892" t="s">
        <v>27</v>
      </c>
      <c r="B15" s="3893" t="s">
        <v>784</v>
      </c>
      <c r="C15" s="3889"/>
    </row>
    <row r="16" spans="1:7" ht="14.25">
      <c r="A16" s="3892"/>
      <c r="B16" s="3890" t="s">
        <v>28</v>
      </c>
      <c r="C16" s="1068" t="s">
        <v>27</v>
      </c>
    </row>
    <row r="17" spans="1:3" ht="14.25">
      <c r="A17" s="3892"/>
      <c r="B17" s="3890"/>
      <c r="C17" s="1068" t="s">
        <v>29</v>
      </c>
    </row>
    <row r="18" spans="1:3" ht="14.25">
      <c r="A18" s="3892"/>
      <c r="B18" s="3890"/>
      <c r="C18" s="1068" t="s">
        <v>30</v>
      </c>
    </row>
    <row r="19" spans="1:3" ht="14.25">
      <c r="A19" s="3892"/>
      <c r="B19" s="3888" t="s">
        <v>31</v>
      </c>
      <c r="C19" s="3889"/>
    </row>
    <row r="20" spans="1:3" ht="14.25">
      <c r="A20" s="1069" t="s">
        <v>32</v>
      </c>
      <c r="B20" s="1070"/>
      <c r="C20" s="1071"/>
    </row>
    <row r="21" spans="1:3" ht="14.25">
      <c r="A21" s="3891" t="s">
        <v>33</v>
      </c>
      <c r="B21" s="3888" t="s">
        <v>34</v>
      </c>
      <c r="C21" s="3889"/>
    </row>
    <row r="22" spans="1:3" ht="14.25">
      <c r="A22" s="3891"/>
      <c r="B22" s="3888" t="s">
        <v>35</v>
      </c>
      <c r="C22" s="3889"/>
    </row>
    <row r="23" spans="1:3" ht="14.25">
      <c r="A23" s="3891"/>
      <c r="B23" s="3888" t="s">
        <v>36</v>
      </c>
      <c r="C23" s="3889"/>
    </row>
    <row r="24" spans="1:3" ht="14.25">
      <c r="A24" s="3891"/>
      <c r="B24" s="3894" t="s">
        <v>37</v>
      </c>
      <c r="C24" s="1072" t="s">
        <v>775</v>
      </c>
    </row>
    <row r="25" spans="1:3" ht="14.25">
      <c r="A25" s="3891"/>
      <c r="B25" s="3895"/>
      <c r="C25" s="1072" t="s">
        <v>776</v>
      </c>
    </row>
    <row r="26" spans="1:3" ht="14.25">
      <c r="A26" s="3891"/>
      <c r="B26" s="3895"/>
      <c r="C26" s="1072" t="s">
        <v>777</v>
      </c>
    </row>
    <row r="27" spans="1:3" ht="14.25">
      <c r="A27" s="3891"/>
      <c r="B27" s="3895"/>
      <c r="C27" s="1072" t="s">
        <v>778</v>
      </c>
    </row>
    <row r="28" spans="1:3" ht="14.25">
      <c r="A28" s="3891"/>
      <c r="B28" s="3895"/>
      <c r="C28" s="1072" t="s">
        <v>779</v>
      </c>
    </row>
    <row r="29" spans="1:3" ht="14.25">
      <c r="A29" s="3891"/>
      <c r="B29" s="3895"/>
      <c r="C29" s="1072" t="s">
        <v>780</v>
      </c>
    </row>
    <row r="30" spans="1:3" ht="14.25">
      <c r="A30" s="3891"/>
      <c r="B30" s="3895"/>
      <c r="C30" s="1072" t="s">
        <v>781</v>
      </c>
    </row>
    <row r="31" spans="1:3" ht="14.25">
      <c r="A31" s="3891"/>
      <c r="B31" s="3895"/>
      <c r="C31" s="1072" t="s">
        <v>782</v>
      </c>
    </row>
    <row r="32" spans="1:3" ht="14.25">
      <c r="A32" s="3891"/>
      <c r="B32" s="3895"/>
      <c r="C32" s="1072" t="s">
        <v>1181</v>
      </c>
    </row>
    <row r="33" spans="1:3" ht="14.25">
      <c r="A33" s="3891"/>
      <c r="B33" s="3885" t="s">
        <v>1187</v>
      </c>
      <c r="C33" s="1072" t="s">
        <v>1182</v>
      </c>
    </row>
    <row r="34" spans="1:3" ht="14.25">
      <c r="A34" s="3891"/>
      <c r="B34" s="3886"/>
      <c r="C34" s="1077" t="s">
        <v>1183</v>
      </c>
    </row>
    <row r="35" spans="1:3" ht="14.25">
      <c r="A35" s="3891"/>
      <c r="B35" s="3886"/>
      <c r="C35" s="1078" t="s">
        <v>1184</v>
      </c>
    </row>
    <row r="36" spans="1:3" ht="14.25">
      <c r="A36" s="3891"/>
      <c r="B36" s="3886"/>
      <c r="C36" s="1078" t="s">
        <v>1185</v>
      </c>
    </row>
    <row r="37" spans="1:3" ht="14.25">
      <c r="A37" s="3891"/>
      <c r="B37" s="3887"/>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45224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899" t="s">
        <v>1448</v>
      </c>
      <c r="B18" s="3900"/>
      <c r="C18" s="3900"/>
      <c r="D18" s="3900"/>
      <c r="E18" s="3900"/>
      <c r="F18" s="3900"/>
      <c r="G18" s="2775"/>
    </row>
    <row r="19" spans="1:7" ht="20.25" customHeight="1">
      <c r="A19" s="3896" t="s">
        <v>1449</v>
      </c>
      <c r="B19" s="3896"/>
      <c r="C19" s="3897"/>
      <c r="D19" s="3898" t="s">
        <v>1450</v>
      </c>
      <c r="E19" s="3896"/>
      <c r="F19" s="3896"/>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314" priority="151">
      <formula>AND($C5-TODAY()&lt;30,TODAY()&lt;$C5)</formula>
    </cfRule>
  </conditionalFormatting>
  <conditionalFormatting sqref="C21">
    <cfRule type="expression" dxfId="313" priority="150">
      <formula>AND($C21-TODAY()&lt;30,TODAY()&lt;$C21)</formula>
    </cfRule>
  </conditionalFormatting>
  <conditionalFormatting sqref="C21 F4 C5 C13">
    <cfRule type="cellIs" dxfId="312" priority="152" stopIfTrue="1" operator="lessThan">
      <formula>$B$2</formula>
    </cfRule>
  </conditionalFormatting>
  <conditionalFormatting sqref="F5 F7 F9">
    <cfRule type="cellIs" dxfId="311" priority="146" stopIfTrue="1" operator="lessThan">
      <formula>$B$2</formula>
    </cfRule>
  </conditionalFormatting>
  <conditionalFormatting sqref="C17:D17">
    <cfRule type="expression" dxfId="310" priority="144">
      <formula>AND($C17-TODAY()&lt;30,TODAY()&lt;$C17)</formula>
    </cfRule>
  </conditionalFormatting>
  <conditionalFormatting sqref="F6 F8 F10 C17:D17">
    <cfRule type="cellIs" dxfId="309" priority="145" stopIfTrue="1" operator="lessThan">
      <formula>$B$2</formula>
    </cfRule>
  </conditionalFormatting>
  <conditionalFormatting sqref="F14">
    <cfRule type="cellIs" dxfId="308" priority="116" stopIfTrue="1" operator="lessThan">
      <formula>$B$2</formula>
    </cfRule>
  </conditionalFormatting>
  <conditionalFormatting sqref="F13">
    <cfRule type="cellIs" dxfId="307" priority="115" stopIfTrue="1" operator="lessThan">
      <formula>$B$2</formula>
    </cfRule>
  </conditionalFormatting>
  <conditionalFormatting sqref="B4:B11 E4:E11 E13:E16 B13:B16">
    <cfRule type="cellIs" dxfId="306" priority="113" stopIfTrue="1" operator="equal">
      <formula>"已过期"</formula>
    </cfRule>
  </conditionalFormatting>
  <conditionalFormatting sqref="C6">
    <cfRule type="expression" dxfId="305" priority="84">
      <formula>AND($C6-TODAY()&lt;30,TODAY()&lt;$C6)</formula>
    </cfRule>
  </conditionalFormatting>
  <conditionalFormatting sqref="C6">
    <cfRule type="cellIs" dxfId="304" priority="85" stopIfTrue="1" operator="lessThan">
      <formula>$B$2</formula>
    </cfRule>
  </conditionalFormatting>
  <conditionalFormatting sqref="C11 C15:C16">
    <cfRule type="expression" dxfId="303" priority="82">
      <formula>AND($C11-TODAY()&lt;30,TODAY()&lt;$C11)</formula>
    </cfRule>
  </conditionalFormatting>
  <conditionalFormatting sqref="C11 C15:C16">
    <cfRule type="cellIs" dxfId="302" priority="83" stopIfTrue="1" operator="lessThan">
      <formula>$B$2</formula>
    </cfRule>
  </conditionalFormatting>
  <conditionalFormatting sqref="F11">
    <cfRule type="cellIs" dxfId="301" priority="81" stopIfTrue="1" operator="lessThan">
      <formula>$B$2</formula>
    </cfRule>
  </conditionalFormatting>
  <conditionalFormatting sqref="C14">
    <cfRule type="expression" dxfId="300" priority="62">
      <formula>AND($C14-TODAY()&lt;30,TODAY()&lt;$C14)</formula>
    </cfRule>
  </conditionalFormatting>
  <conditionalFormatting sqref="C14">
    <cfRule type="cellIs" dxfId="299" priority="63" stopIfTrue="1" operator="lessThan">
      <formula>$B$2</formula>
    </cfRule>
  </conditionalFormatting>
  <conditionalFormatting sqref="C12">
    <cfRule type="cellIs" dxfId="298" priority="56" stopIfTrue="1" operator="lessThan">
      <formula>$B$2</formula>
    </cfRule>
  </conditionalFormatting>
  <conditionalFormatting sqref="C12">
    <cfRule type="expression" dxfId="297" priority="53">
      <formula>AND($C12-TODAY()&lt;30,TODAY()&lt;$C12)</formula>
    </cfRule>
  </conditionalFormatting>
  <conditionalFormatting sqref="C12">
    <cfRule type="cellIs" dxfId="296" priority="54" stopIfTrue="1" operator="lessThan">
      <formula>$B$2</formula>
    </cfRule>
  </conditionalFormatting>
  <conditionalFormatting sqref="B12">
    <cfRule type="cellIs" dxfId="295" priority="50" stopIfTrue="1" operator="equal">
      <formula>"已过期"</formula>
    </cfRule>
  </conditionalFormatting>
  <conditionalFormatting sqref="E12">
    <cfRule type="cellIs" dxfId="294" priority="40" stopIfTrue="1" operator="equal">
      <formula>"已过期"</formula>
    </cfRule>
  </conditionalFormatting>
  <conditionalFormatting sqref="F12">
    <cfRule type="cellIs" dxfId="293" priority="39" stopIfTrue="1" operator="lessThan">
      <formula>$B$2</formula>
    </cfRule>
  </conditionalFormatting>
  <conditionalFormatting sqref="C9:C10">
    <cfRule type="expression" dxfId="292" priority="35">
      <formula>AND($C9-TODAY()&lt;30,TODAY()&lt;$C9)</formula>
    </cfRule>
  </conditionalFormatting>
  <conditionalFormatting sqref="C9:C10">
    <cfRule type="cellIs" dxfId="291" priority="36" stopIfTrue="1" operator="lessThan">
      <formula>$B$2</formula>
    </cfRule>
  </conditionalFormatting>
  <conditionalFormatting sqref="F22">
    <cfRule type="cellIs" dxfId="290" priority="15" stopIfTrue="1" operator="lessThan">
      <formula>$B$2</formula>
    </cfRule>
  </conditionalFormatting>
  <conditionalFormatting sqref="F22">
    <cfRule type="expression" dxfId="289" priority="16">
      <formula>AND($E22-TODAY()&lt;30,TODAY()&lt;$E22)</formula>
    </cfRule>
  </conditionalFormatting>
  <conditionalFormatting sqref="C7:C8">
    <cfRule type="expression" dxfId="288" priority="7">
      <formula>AND($C7-TODAY()&lt;30,TODAY()&lt;$C7)</formula>
    </cfRule>
  </conditionalFormatting>
  <conditionalFormatting sqref="C7:C8">
    <cfRule type="cellIs" dxfId="287" priority="8" stopIfTrue="1" operator="lessThan">
      <formula>$B$2</formula>
    </cfRule>
  </conditionalFormatting>
  <conditionalFormatting sqref="C7:C8">
    <cfRule type="expression" dxfId="286" priority="5">
      <formula>AND($C7-TODAY()&lt;30,TODAY()&lt;$C7)</formula>
    </cfRule>
  </conditionalFormatting>
  <conditionalFormatting sqref="C7:C8">
    <cfRule type="cellIs" dxfId="285" priority="6" stopIfTrue="1" operator="lessThan">
      <formula>$B$2</formula>
    </cfRule>
  </conditionalFormatting>
  <conditionalFormatting sqref="C4">
    <cfRule type="expression" dxfId="284" priority="3">
      <formula>AND($C4-TODAY()&lt;30,TODAY()&lt;$C4)</formula>
    </cfRule>
  </conditionalFormatting>
  <conditionalFormatting sqref="C4">
    <cfRule type="cellIs" dxfId="283" priority="4" stopIfTrue="1" operator="lessThan">
      <formula>$B$2</formula>
    </cfRule>
  </conditionalFormatting>
  <conditionalFormatting sqref="F21">
    <cfRule type="cellIs" dxfId="282" priority="1" stopIfTrue="1" operator="lessThan">
      <formula>$B$2</formula>
    </cfRule>
  </conditionalFormatting>
  <conditionalFormatting sqref="F21">
    <cfRule type="expression" dxfId="28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901"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901"/>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901"/>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901"/>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901"/>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188</vt:i4>
      </vt:variant>
    </vt:vector>
  </HeadingPairs>
  <TitlesOfParts>
    <vt:vector size="2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比较法-公开</vt:lpstr>
      <vt:lpstr>比较法-特殊（何金峰）</vt:lpstr>
      <vt:lpstr>比较法-划拨</vt:lpstr>
      <vt:lpstr>新案例整理1024</vt:lpstr>
      <vt:lpstr>成本逼近法 (搭配划拨)</vt:lpstr>
      <vt:lpstr>比较法-成本 (搭配划拨)</vt:lpstr>
      <vt:lpstr>比较法-出让</vt:lpstr>
      <vt:lpstr>成本案例</vt:lpstr>
      <vt:lpstr>成本逼近法</vt:lpstr>
      <vt:lpstr>常用公式</vt:lpstr>
      <vt:lpstr>比较法-成本</vt:lpstr>
      <vt:lpstr>Sheet7</vt:lpstr>
      <vt:lpstr>比较法案例（ppt）</vt:lpstr>
      <vt:lpstr>征收腾退案例（何金峰）</vt:lpstr>
      <vt:lpstr>公开市场案例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市场案例贴表</vt:lpstr>
      <vt:lpstr>Sheet3</vt:lpstr>
      <vt:lpstr>Sheet2</vt:lpstr>
      <vt:lpstr>其他增值收益</vt:lpstr>
      <vt:lpstr>大兴</vt:lpstr>
      <vt:lpstr>亦庄</vt:lpstr>
      <vt:lpstr>房山</vt:lpstr>
      <vt:lpstr>'比较法-成本'!Print_Area</vt:lpstr>
      <vt:lpstr>'比较法-成本 (搭配划拨)'!Print_Area</vt:lpstr>
      <vt:lpstr>'比较法-出让'!Print_Area</vt:lpstr>
      <vt:lpstr>'比较法-公开'!Print_Area</vt:lpstr>
      <vt:lpstr>'比较法-划拨'!Print_Area</vt:lpstr>
      <vt:lpstr>'比较法-特殊（何金峰）'!Print_Area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'成本逼近法 (搭配划拨)'!Print_Area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'比较法-成本 (搭配划拨)'!套工工程地质条件</vt:lpstr>
      <vt:lpstr>'比较法-出让'!套工工程地质条件</vt:lpstr>
      <vt:lpstr>'比较法-划拨'!套工工程地质条件</vt:lpstr>
      <vt:lpstr>'比较法-特殊（何金峰）'!套工工程地质条件</vt:lpstr>
      <vt:lpstr>套工工程地质条件</vt:lpstr>
      <vt:lpstr>套工交易情况</vt:lpstr>
      <vt:lpstr>'比较法-成本'!套工开发程度</vt:lpstr>
      <vt:lpstr>'比较法-成本 (搭配划拨)'!套工开发程度</vt:lpstr>
      <vt:lpstr>'比较法-出让'!套工开发程度</vt:lpstr>
      <vt:lpstr>'比较法-划拨'!套工开发程度</vt:lpstr>
      <vt:lpstr>'比较法-特殊（何金峰）'!套工开发程度</vt:lpstr>
      <vt:lpstr>套工开发程度</vt:lpstr>
      <vt:lpstr>'比较法-成本'!套工临街等级</vt:lpstr>
      <vt:lpstr>'比较法-成本 (搭配划拨)'!套工临街等级</vt:lpstr>
      <vt:lpstr>'比较法-出让'!套工临街等级</vt:lpstr>
      <vt:lpstr>'比较法-划拨'!套工临街等级</vt:lpstr>
      <vt:lpstr>'比较法-特殊（何金峰）'!套工临街等级</vt:lpstr>
      <vt:lpstr>套工临街等级</vt:lpstr>
      <vt:lpstr>'比较法-成本'!套工土地级别</vt:lpstr>
      <vt:lpstr>'比较法-成本 (搭配划拨)'!套工土地级别</vt:lpstr>
      <vt:lpstr>'比较法-出让'!套工土地级别</vt:lpstr>
      <vt:lpstr>'比较法-划拨'!套工土地级别</vt:lpstr>
      <vt:lpstr>'比较法-特殊（何金峰）'!套工土地级别</vt:lpstr>
      <vt:lpstr>套工土地级别</vt:lpstr>
      <vt:lpstr>'比较法-成本'!套工用途</vt:lpstr>
      <vt:lpstr>'比较法-成本 (搭配划拨)'!套工用途</vt:lpstr>
      <vt:lpstr>'比较法-出让'!套工用途</vt:lpstr>
      <vt:lpstr>'比较法-划拨'!套工用途</vt:lpstr>
      <vt:lpstr>'比较法-特殊（何金峰）'!套工用途</vt:lpstr>
      <vt:lpstr>套工用途</vt:lpstr>
      <vt:lpstr>'比较法-成本'!套工宗地形状</vt:lpstr>
      <vt:lpstr>'比较法-成本 (搭配划拨)'!套工宗地形状</vt:lpstr>
      <vt:lpstr>'比较法-出让'!套工宗地形状</vt:lpstr>
      <vt:lpstr>'比较法-划拨'!套工宗地形状</vt:lpstr>
      <vt:lpstr>'比较法-特殊（何金峰）'!套工宗地形状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2023-10-25T13:21:20Z</dcterms:modified>
</cp:coreProperties>
</file>