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0" windowWidth="19420" windowHeight="1102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收益法 (元)" sheetId="67" r:id="rId36"/>
    <sheet name="Sheet1" sheetId="81"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5">'收益法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6" i="1" l="1"/>
  <c r="L89" i="81" l="1"/>
  <c r="L88" i="81"/>
  <c r="L87" i="81"/>
  <c r="L86" i="81"/>
  <c r="L85" i="81"/>
  <c r="L84" i="81"/>
  <c r="L83" i="81"/>
  <c r="L82" i="81"/>
  <c r="L81" i="81"/>
  <c r="K89" i="81"/>
  <c r="K88" i="81"/>
  <c r="K87" i="81"/>
  <c r="K86" i="81"/>
  <c r="K85" i="81"/>
  <c r="K84" i="81"/>
  <c r="K83" i="81"/>
  <c r="K82" i="81"/>
  <c r="K81" i="81"/>
  <c r="I89" i="81"/>
  <c r="I88" i="81"/>
  <c r="I87" i="81"/>
  <c r="I86" i="81"/>
  <c r="I85" i="81"/>
  <c r="I84" i="81"/>
  <c r="I83" i="81"/>
  <c r="I82" i="81"/>
  <c r="I81" i="81"/>
  <c r="H89" i="81"/>
  <c r="H88" i="81"/>
  <c r="H87" i="81"/>
  <c r="H86" i="81"/>
  <c r="H85" i="81"/>
  <c r="H84" i="81"/>
  <c r="H83" i="81"/>
  <c r="H82" i="81"/>
  <c r="H81" i="81"/>
  <c r="M33" i="21"/>
  <c r="O33" i="21" s="1"/>
  <c r="M34" i="21"/>
  <c r="O34" i="21" s="1"/>
  <c r="M35" i="21"/>
  <c r="M36" i="21"/>
  <c r="O36" i="21" s="1"/>
  <c r="O35" i="21"/>
  <c r="M21" i="1"/>
  <c r="F19" i="6" l="1"/>
  <c r="B14" i="74"/>
  <c r="C76" i="43"/>
  <c r="C73" i="43"/>
  <c r="C72" i="43"/>
  <c r="M46" i="21"/>
  <c r="E28" i="21"/>
  <c r="C33" i="21"/>
  <c r="V19" i="1"/>
  <c r="D33" i="43"/>
  <c r="C13" i="43"/>
  <c r="C5" i="43" s="1"/>
  <c r="G2" i="43"/>
  <c r="I2" i="43"/>
  <c r="M2" i="43"/>
  <c r="C6" i="43"/>
  <c r="C17" i="43"/>
  <c r="C20" i="43"/>
  <c r="L15" i="79"/>
  <c r="S15" i="79"/>
  <c r="M15" i="79"/>
  <c r="T15" i="79"/>
  <c r="W15" i="79" s="1"/>
  <c r="N15" i="79"/>
  <c r="U15" i="79"/>
  <c r="O15" i="79"/>
  <c r="V15" i="79"/>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D9" i="69"/>
  <c r="C9" i="69" s="1"/>
  <c r="B29" i="1" s="1"/>
  <c r="E9" i="69"/>
  <c r="G8" i="4"/>
  <c r="A7" i="1"/>
  <c r="B7" i="1"/>
  <c r="E7" i="1"/>
  <c r="A8" i="1"/>
  <c r="B8" i="1"/>
  <c r="E8" i="1"/>
  <c r="A9" i="1"/>
  <c r="B9" i="1"/>
  <c r="E9" i="1"/>
  <c r="A10" i="1"/>
  <c r="B10" i="1"/>
  <c r="E10" i="1"/>
  <c r="A11" i="1"/>
  <c r="B11" i="1"/>
  <c r="E11" i="1"/>
  <c r="A12" i="1"/>
  <c r="B12" i="1"/>
  <c r="E12" i="1"/>
  <c r="A13" i="1"/>
  <c r="B13" i="1"/>
  <c r="E13" i="1"/>
  <c r="A6" i="1"/>
  <c r="B6" i="1"/>
  <c r="E6" i="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c r="C8" i="74"/>
  <c r="B7" i="74"/>
  <c r="E109" i="9"/>
  <c r="H109" i="9"/>
  <c r="H110" i="9"/>
  <c r="C7" i="74"/>
  <c r="B3" i="78"/>
  <c r="C6" i="78" s="1"/>
  <c r="D6" i="78" s="1"/>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P24" i="71"/>
  <c r="E24" i="71"/>
  <c r="P23" i="71"/>
  <c r="E23" i="71"/>
  <c r="P22" i="71"/>
  <c r="E22" i="71"/>
  <c r="P21" i="71"/>
  <c r="E21" i="71"/>
  <c r="P20" i="71"/>
  <c r="E20" i="71"/>
  <c r="P19" i="71"/>
  <c r="E19" i="71"/>
  <c r="P18" i="71"/>
  <c r="E18" i="71"/>
  <c r="P17" i="71"/>
  <c r="E17" i="71"/>
  <c r="P16" i="71"/>
  <c r="E16" i="71"/>
  <c r="M23" i="43"/>
  <c r="G24" i="43"/>
  <c r="I23" i="43"/>
  <c r="G17" i="43"/>
  <c r="N12" i="43"/>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T34" i="79"/>
  <c r="W34" i="79" s="1"/>
  <c r="L34" i="79"/>
  <c r="S34" i="79"/>
  <c r="I34" i="79"/>
  <c r="AD34" i="79"/>
  <c r="AB33" i="79"/>
  <c r="AA33" i="79"/>
  <c r="Z33" i="79"/>
  <c r="N33" i="79"/>
  <c r="U33" i="79"/>
  <c r="M33" i="79"/>
  <c r="T33" i="79"/>
  <c r="W33" i="79" s="1"/>
  <c r="L33" i="79"/>
  <c r="S33" i="79"/>
  <c r="I33" i="79"/>
  <c r="AD33" i="79"/>
  <c r="AB32" i="79"/>
  <c r="AA32" i="79"/>
  <c r="Z32" i="79"/>
  <c r="N32" i="79"/>
  <c r="U32" i="79"/>
  <c r="M32" i="79"/>
  <c r="T32" i="79"/>
  <c r="W32" i="79" s="1"/>
  <c r="L32" i="79"/>
  <c r="S32" i="79"/>
  <c r="I32" i="79"/>
  <c r="AD32" i="79"/>
  <c r="AB31" i="79"/>
  <c r="AA31" i="79"/>
  <c r="Z31" i="79"/>
  <c r="N31" i="79"/>
  <c r="U31" i="79"/>
  <c r="M31" i="79"/>
  <c r="T31" i="79"/>
  <c r="W31" i="79" s="1"/>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P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C15" i="4"/>
  <c r="F6" i="1" s="1"/>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c r="S25" i="79"/>
  <c r="T29" i="79"/>
  <c r="W29" i="79" s="1"/>
  <c r="P10" i="79"/>
  <c r="C27" i="43"/>
  <c r="S6" i="43"/>
  <c r="S5" i="43"/>
  <c r="S4" i="43"/>
  <c r="S2" i="43"/>
  <c r="E93" i="43"/>
  <c r="B91" i="43"/>
  <c r="N21" i="43"/>
  <c r="S3" i="43"/>
  <c r="H116" i="43"/>
  <c r="F37" i="43"/>
  <c r="F38" i="43"/>
  <c r="F39" i="43"/>
  <c r="F40" i="43"/>
  <c r="F41" i="43"/>
  <c r="F42" i="43"/>
  <c r="N1"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5" i="79"/>
  <c r="P30" i="79"/>
  <c r="P32" i="79"/>
  <c r="P34" i="79"/>
  <c r="P29" i="79"/>
  <c r="P31" i="79"/>
  <c r="P33" i="79"/>
  <c r="P35" i="79"/>
  <c r="E25" i="78"/>
  <c r="E24" i="78"/>
  <c r="F23" i="78"/>
  <c r="F24" i="78"/>
  <c r="F25" i="78"/>
  <c r="E23" i="78"/>
  <c r="E22" i="78"/>
  <c r="G22" i="78"/>
  <c r="F12" i="78"/>
  <c r="F11" i="78"/>
  <c r="C1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s="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s="1"/>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AB19" i="21"/>
  <c r="D83" i="21"/>
  <c r="F21" i="21"/>
  <c r="AA2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c r="F38" i="69"/>
  <c r="E37" i="69"/>
  <c r="F36" i="69"/>
  <c r="F35" i="69"/>
  <c r="F21" i="69"/>
  <c r="F40" i="69"/>
  <c r="F20" i="69"/>
  <c r="F39" i="69"/>
  <c r="E10" i="69"/>
  <c r="AC21" i="37"/>
  <c r="W21" i="37"/>
  <c r="AC21" i="34"/>
  <c r="W21" i="34"/>
  <c r="AC21" i="33"/>
  <c r="W21" i="33"/>
  <c r="G83" i="21"/>
  <c r="J21" i="21"/>
  <c r="AC21" i="21"/>
  <c r="C40" i="69"/>
  <c r="F38" i="68"/>
  <c r="E37" i="68"/>
  <c r="F36" i="68"/>
  <c r="F35" i="68"/>
  <c r="F21" i="68"/>
  <c r="F40" i="68"/>
  <c r="C21" i="68"/>
  <c r="F20" i="68"/>
  <c r="F39" i="68"/>
  <c r="E10" i="68"/>
  <c r="E9" i="68"/>
  <c r="C7" i="68"/>
  <c r="W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F3" i="35"/>
  <c r="K13" i="1"/>
  <c r="M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G12" i="1" s="1"/>
  <c r="F15" i="4"/>
  <c r="F11" i="1"/>
  <c r="G11" i="1" s="1"/>
  <c r="D15" i="4"/>
  <c r="F7" i="1"/>
  <c r="G7" i="1" s="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22" i="1"/>
  <c r="G41" i="69"/>
  <c r="B23" i="1"/>
  <c r="B24" i="1"/>
  <c r="F34" i="68"/>
  <c r="E19" i="6"/>
  <c r="K6" i="1"/>
  <c r="M6" i="1"/>
  <c r="K7" i="1"/>
  <c r="M7" i="1"/>
  <c r="K8" i="1"/>
  <c r="M8" i="1"/>
  <c r="K9" i="1"/>
  <c r="M9" i="1"/>
  <c r="K10" i="1"/>
  <c r="M10" i="1"/>
  <c r="K11" i="1"/>
  <c r="M11" i="1"/>
  <c r="K12" i="1"/>
  <c r="M12" i="1"/>
  <c r="F28" i="6"/>
  <c r="G28" i="6"/>
  <c r="E28" i="6"/>
  <c r="K14" i="1"/>
  <c r="M14" i="1"/>
  <c r="M16" i="1"/>
  <c r="B43" i="1"/>
  <c r="D78" i="9"/>
  <c r="E20" i="6"/>
  <c r="E21" i="6"/>
  <c r="F23" i="15"/>
  <c r="D24" i="15"/>
  <c r="E22" i="6"/>
  <c r="E23" i="6"/>
  <c r="O10" i="1"/>
  <c r="P10" i="1"/>
  <c r="E24" i="6"/>
  <c r="E25" i="6"/>
  <c r="E26" i="6"/>
  <c r="BC10" i="3"/>
  <c r="BD10" i="3"/>
  <c r="BB10" i="3"/>
  <c r="F35" i="11"/>
  <c r="F36" i="11"/>
  <c r="F38" i="11"/>
  <c r="E37" i="11"/>
  <c r="F20" i="11"/>
  <c r="F21" i="11"/>
  <c r="C21" i="11"/>
  <c r="F7" i="11"/>
  <c r="C7" i="11"/>
  <c r="F12" i="12"/>
  <c r="F13" i="12"/>
  <c r="F15" i="12"/>
  <c r="E14" i="12"/>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H37" i="21" s="1"/>
  <c r="D110" i="21"/>
  <c r="J36" i="21" s="1"/>
  <c r="D108" i="21"/>
  <c r="E108" i="21"/>
  <c r="F108" i="21"/>
  <c r="G108" i="21"/>
  <c r="H108" i="21"/>
  <c r="I108" i="21"/>
  <c r="J108" i="21"/>
  <c r="K108" i="21"/>
  <c r="L108" i="21"/>
  <c r="M108" i="21"/>
  <c r="D106" i="21"/>
  <c r="E106" i="21"/>
  <c r="F106" i="21"/>
  <c r="G106" i="21"/>
  <c r="H106" i="21"/>
  <c r="I106" i="21"/>
  <c r="J106" i="21"/>
  <c r="K106" i="21"/>
  <c r="L106" i="21"/>
  <c r="M106" i="21"/>
  <c r="D101" i="21"/>
  <c r="J32" i="21" s="1"/>
  <c r="D89" i="21"/>
  <c r="E89" i="21" s="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s="1"/>
  <c r="F43" i="21"/>
  <c r="S43" i="21"/>
  <c r="H38" i="21"/>
  <c r="U38" i="21"/>
  <c r="H43" i="21"/>
  <c r="AB43" i="21"/>
  <c r="F38" i="21"/>
  <c r="S38" i="21"/>
  <c r="F39" i="21"/>
  <c r="AA39" i="21"/>
  <c r="J40" i="21"/>
  <c r="W40" i="21"/>
  <c r="H35" i="21"/>
  <c r="AB35" i="21"/>
  <c r="J8" i="21"/>
  <c r="AC8" i="21"/>
  <c r="H8" i="21"/>
  <c r="U8" i="21"/>
  <c r="H10" i="21"/>
  <c r="AB10" i="21"/>
  <c r="H39" i="21"/>
  <c r="U39" i="21"/>
  <c r="J34" i="21"/>
  <c r="W34" i="21"/>
  <c r="F35" i="21"/>
  <c r="AA35" i="21"/>
  <c r="J10" i="21"/>
  <c r="AC10" i="21"/>
  <c r="J19" i="21"/>
  <c r="W19" i="21"/>
  <c r="J12" i="21"/>
  <c r="AC12" i="21"/>
  <c r="H12" i="21"/>
  <c r="AB12"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S27" i="21" s="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c r="J107" i="37"/>
  <c r="K107" i="37"/>
  <c r="L107" i="37"/>
  <c r="M107" i="37"/>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s="1"/>
  <c r="D52" i="37" s="1"/>
  <c r="E52" i="37" s="1"/>
  <c r="C7" i="34"/>
  <c r="C7" i="36"/>
  <c r="C46" i="36" s="1"/>
  <c r="D46" i="36" s="1"/>
  <c r="E46" i="36" s="1"/>
  <c r="F46" i="36" s="1"/>
  <c r="G46" i="36" s="1"/>
  <c r="W35" i="40"/>
  <c r="A118" i="9"/>
  <c r="A4" i="52"/>
  <c r="B41" i="72"/>
  <c r="J11" i="39"/>
  <c r="W11" i="39"/>
  <c r="F11" i="39"/>
  <c r="AA11" i="39"/>
  <c r="S11" i="39"/>
  <c r="G4" i="4"/>
  <c r="I4" i="4"/>
  <c r="A2" i="9"/>
  <c r="F61" i="43"/>
  <c r="H64" i="43"/>
  <c r="F29" i="6"/>
  <c r="U36" i="40"/>
  <c r="F83" i="43"/>
  <c r="H85" i="43"/>
  <c r="F50" i="43"/>
  <c r="H54" i="43"/>
  <c r="F72" i="43"/>
  <c r="H75" i="43"/>
  <c r="U17" i="39"/>
  <c r="S14" i="35"/>
  <c r="U35" i="21"/>
  <c r="AC35" i="21"/>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C40" i="1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AP6" i="1"/>
  <c r="G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3" i="1"/>
  <c r="AR13" i="1"/>
  <c r="R13" i="1"/>
  <c r="J51" i="67"/>
  <c r="C42" i="1"/>
  <c r="C24" i="12" s="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41" i="21"/>
  <c r="AB39" i="21"/>
  <c r="AA43" i="21"/>
  <c r="S39" i="21"/>
  <c r="AA38" i="21"/>
  <c r="AC40" i="21"/>
  <c r="J15" i="21"/>
  <c r="W15" i="21"/>
  <c r="F77" i="21"/>
  <c r="G77" i="21"/>
  <c r="F23" i="21"/>
  <c r="S23" i="21"/>
  <c r="E85" i="21"/>
  <c r="AA14" i="21"/>
  <c r="D120" i="9"/>
  <c r="D121" i="9"/>
  <c r="D7" i="52"/>
  <c r="F34" i="67"/>
  <c r="F62" i="67"/>
  <c r="M20" i="67"/>
  <c r="F34" i="15"/>
  <c r="F62" i="15"/>
  <c r="B3" i="3"/>
  <c r="E510" i="3"/>
  <c r="J56" i="9"/>
  <c r="J57" i="9"/>
  <c r="J59" i="9"/>
  <c r="J61" i="9"/>
  <c r="A24" i="51"/>
  <c r="B18" i="72" s="1"/>
  <c r="U29" i="34"/>
  <c r="E32" i="6"/>
  <c r="G1" i="68"/>
  <c r="K1" i="12"/>
  <c r="E19" i="69"/>
  <c r="E19" i="68"/>
  <c r="E19" i="11"/>
  <c r="E1" i="73"/>
  <c r="G22" i="69"/>
  <c r="G22" i="68"/>
  <c r="G26" i="12"/>
  <c r="G22" i="11"/>
  <c r="B19" i="53"/>
  <c r="B37" i="72"/>
  <c r="C7" i="39"/>
  <c r="C67" i="39" s="1"/>
  <c r="C7" i="35"/>
  <c r="C7" i="33"/>
  <c r="C7" i="21"/>
  <c r="C58" i="21" s="1"/>
  <c r="D58" i="21" s="1"/>
  <c r="E58" i="21" s="1"/>
  <c r="F58" i="21" s="1"/>
  <c r="G58" i="21" s="1"/>
  <c r="C7" i="40"/>
  <c r="C63" i="40" s="1"/>
  <c r="M47" i="9"/>
  <c r="G23" i="43"/>
  <c r="P27" i="43" s="1"/>
  <c r="B70" i="39" s="1"/>
  <c r="A4" i="51"/>
  <c r="B6" i="72"/>
  <c r="C48" i="35"/>
  <c r="D48" i="35" s="1"/>
  <c r="H67" i="43"/>
  <c r="L20" i="6"/>
  <c r="O11"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7" i="21"/>
  <c r="AA37" i="21" s="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9" i="21"/>
  <c r="J9" i="21"/>
  <c r="AA31" i="21"/>
  <c r="W29" i="21"/>
  <c r="S19" i="21"/>
  <c r="S9" i="21"/>
  <c r="AA9" i="21"/>
  <c r="K141" i="21"/>
  <c r="K144" i="21"/>
  <c r="K143" i="21"/>
  <c r="AB25" i="21"/>
  <c r="AB44" i="21"/>
  <c r="AA30" i="21"/>
  <c r="W13" i="21"/>
  <c r="AC45" i="21"/>
  <c r="F10" i="21"/>
  <c r="AA10" i="21"/>
  <c r="K145" i="21"/>
  <c r="W25" i="21"/>
  <c r="AA29" i="21"/>
  <c r="W31" i="21"/>
  <c r="S17" i="21"/>
  <c r="AB29" i="21"/>
  <c r="S28" i="21"/>
  <c r="W12"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F85" i="21"/>
  <c r="G85" i="21"/>
  <c r="H23" i="21"/>
  <c r="AB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W9" i="21"/>
  <c r="AC9"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C23" i="21"/>
  <c r="W23" i="21"/>
  <c r="M49" i="9"/>
  <c r="D16" i="53"/>
  <c r="B34" i="72"/>
  <c r="D21" i="53"/>
  <c r="B39" i="72"/>
  <c r="H111" i="9"/>
  <c r="D126" i="9"/>
  <c r="D19" i="53"/>
  <c r="B38" i="72"/>
  <c r="AD3" i="71"/>
  <c r="J1" i="73"/>
  <c r="H69" i="43"/>
  <c r="H50" i="43"/>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AE7" i="1"/>
  <c r="E3" i="6"/>
  <c r="E6" i="6"/>
  <c r="D10" i="69"/>
  <c r="C10" i="69" s="1"/>
  <c r="Q16" i="1"/>
  <c r="F27" i="69"/>
  <c r="C47" i="69" s="1"/>
  <c r="D45" i="69" s="1"/>
  <c r="C21" i="69"/>
  <c r="C34" i="69"/>
  <c r="C36" i="69"/>
  <c r="D9" i="68"/>
  <c r="D10" i="68"/>
  <c r="C10" i="68" s="1"/>
  <c r="F27" i="68"/>
  <c r="C29" i="68" s="1"/>
  <c r="D27" i="68" s="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L19" i="6"/>
  <c r="L27" i="6"/>
  <c r="O6" i="1"/>
  <c r="T13" i="1"/>
  <c r="C58" i="33"/>
  <c r="D58" i="33" s="1"/>
  <c r="C59" i="34"/>
  <c r="D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48" i="69"/>
  <c r="C31" i="12"/>
  <c r="C30" i="68"/>
  <c r="C77" i="9"/>
  <c r="C74" i="9" s="1"/>
  <c r="C30" i="11"/>
  <c r="J84" i="43"/>
  <c r="J85" i="43"/>
  <c r="J86" i="43"/>
  <c r="J87" i="43"/>
  <c r="J88" i="43"/>
  <c r="J89" i="43"/>
  <c r="J90" i="43"/>
  <c r="D83" i="43"/>
  <c r="E83" i="43"/>
  <c r="B81" i="43"/>
  <c r="D66" i="43"/>
  <c r="D64" i="43"/>
  <c r="D62" i="43"/>
  <c r="D67" i="43"/>
  <c r="D65" i="43"/>
  <c r="D63" i="43"/>
  <c r="D69" i="43"/>
  <c r="D73" i="43"/>
  <c r="D75" i="43"/>
  <c r="D79" i="43"/>
  <c r="E72" i="43" s="1"/>
  <c r="B70" i="43" s="1"/>
  <c r="C28" i="43" s="1"/>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6" i="1"/>
  <c r="D9" i="11"/>
  <c r="C9" i="11"/>
  <c r="D19" i="12"/>
  <c r="C19" i="12" s="1"/>
  <c r="O9" i="1"/>
  <c r="P9" i="1"/>
  <c r="O12" i="1"/>
  <c r="P12" i="1"/>
  <c r="O8" i="1"/>
  <c r="P8" i="1"/>
  <c r="H73" i="43"/>
  <c r="H90" i="43"/>
  <c r="O23" i="43"/>
  <c r="I18" i="43"/>
  <c r="E17" i="43"/>
  <c r="H26" i="43"/>
  <c r="F26" i="43"/>
  <c r="J26" i="43"/>
  <c r="G26" i="43"/>
  <c r="E26" i="43"/>
  <c r="A1" i="79"/>
  <c r="H55" i="43"/>
  <c r="H86" i="43"/>
  <c r="H87" i="43"/>
  <c r="N370" i="46"/>
  <c r="N94" i="46"/>
  <c r="H89" i="43"/>
  <c r="H88" i="43"/>
  <c r="H84" i="43"/>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E11" i="43"/>
  <c r="E9" i="43"/>
  <c r="E10" i="43"/>
  <c r="E8" i="43"/>
  <c r="D23" i="67"/>
  <c r="G25" i="12"/>
  <c r="G41" i="11"/>
  <c r="G27" i="12"/>
  <c r="G41" i="68"/>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K1" i="73"/>
  <c r="I54" i="67"/>
  <c r="E61" i="43"/>
  <c r="B59" i="43"/>
  <c r="B116" i="43"/>
  <c r="Z7" i="43"/>
  <c r="E30" i="6"/>
  <c r="E56" i="39"/>
  <c r="AA26" i="35"/>
  <c r="S26" i="35"/>
  <c r="AC26" i="35"/>
  <c r="W26" i="35"/>
  <c r="AB26" i="35"/>
  <c r="U26" i="35"/>
  <c r="E61" i="39"/>
  <c r="E56" i="40"/>
  <c r="F27" i="11"/>
  <c r="C29" i="11"/>
  <c r="D27" i="11"/>
  <c r="F28" i="12"/>
  <c r="E60" i="40"/>
  <c r="E27" i="6"/>
  <c r="K26" i="6"/>
  <c r="M26" i="6"/>
  <c r="I26" i="6"/>
  <c r="S26" i="6"/>
  <c r="F31" i="6"/>
  <c r="E51" i="40"/>
  <c r="E16" i="6"/>
  <c r="AC6" i="3"/>
  <c r="H6" i="3"/>
  <c r="E58" i="40"/>
  <c r="E62" i="39"/>
  <c r="E65" i="39"/>
  <c r="AY6" i="3"/>
  <c r="D5" i="43"/>
  <c r="D26" i="43"/>
  <c r="C25" i="43"/>
  <c r="C7" i="43"/>
  <c r="D10" i="52"/>
  <c r="D125" i="9"/>
  <c r="D11" i="52"/>
  <c r="D14" i="71"/>
  <c r="P29" i="43"/>
  <c r="C32" i="67"/>
  <c r="C32" i="15"/>
  <c r="AE11" i="1"/>
  <c r="AE9" i="1"/>
  <c r="AE8" i="1"/>
  <c r="AE12" i="1"/>
  <c r="AE10" i="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K21" i="6"/>
  <c r="S8" i="1"/>
  <c r="E8" i="70"/>
  <c r="K25" i="6"/>
  <c r="K20" i="6"/>
  <c r="K23" i="6"/>
  <c r="K22" i="6"/>
  <c r="E31" i="6"/>
  <c r="K24" i="6"/>
  <c r="K19" i="6"/>
  <c r="S6" i="1"/>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D17" i="12" s="1"/>
  <c r="C17" i="12" s="1"/>
  <c r="M18" i="9"/>
  <c r="B118" i="9"/>
  <c r="B1" i="74"/>
  <c r="D3" i="34"/>
  <c r="D19" i="11"/>
  <c r="C19" i="11"/>
  <c r="L18" i="9"/>
  <c r="C17" i="4"/>
  <c r="B4" i="52"/>
  <c r="B43" i="72"/>
  <c r="D3" i="33"/>
  <c r="D3" i="37"/>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s="1"/>
  <c r="N16" i="1"/>
  <c r="F50" i="69" s="1"/>
  <c r="L16" i="1"/>
  <c r="D11" i="71"/>
  <c r="C10" i="71"/>
  <c r="C60" i="15"/>
  <c r="C60" i="67"/>
  <c r="H23" i="6"/>
  <c r="H20" i="6"/>
  <c r="R20" i="6"/>
  <c r="R7" i="1"/>
  <c r="E12" i="70"/>
  <c r="F34" i="11"/>
  <c r="F11" i="12"/>
  <c r="C23" i="12" s="1"/>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F50" i="11"/>
  <c r="F50" i="68"/>
  <c r="C4" i="52"/>
  <c r="B45" i="72"/>
  <c r="A10" i="51"/>
  <c r="B9" i="72"/>
  <c r="A7" i="51"/>
  <c r="B7" i="72"/>
  <c r="R25" i="6"/>
  <c r="R12" i="1"/>
  <c r="D10" i="71"/>
  <c r="C9" i="71"/>
  <c r="C8" i="71"/>
  <c r="C33" i="15"/>
  <c r="C33" i="67"/>
  <c r="D8" i="71"/>
  <c r="C7" i="71"/>
  <c r="T16" i="1"/>
  <c r="C36" i="11"/>
  <c r="C37" i="11"/>
  <c r="C34" i="11"/>
  <c r="C35" i="11" s="1"/>
  <c r="H19" i="6"/>
  <c r="S19" i="6"/>
  <c r="S27" i="6"/>
  <c r="I27" i="6"/>
  <c r="C19" i="69"/>
  <c r="I5" i="6"/>
  <c r="I6" i="6"/>
  <c r="D9" i="71"/>
  <c r="D7" i="71"/>
  <c r="C6" i="71"/>
  <c r="H27" i="6"/>
  <c r="R19" i="6"/>
  <c r="D6" i="71"/>
  <c r="C5" i="71"/>
  <c r="C61" i="67"/>
  <c r="R27" i="6"/>
  <c r="R6" i="1"/>
  <c r="D5" i="71"/>
  <c r="M24" i="43"/>
  <c r="C34" i="67"/>
  <c r="C62" i="67"/>
  <c r="C62" i="15"/>
  <c r="C34" i="15"/>
  <c r="C61" i="15"/>
  <c r="L46" i="67"/>
  <c r="B2" i="33"/>
  <c r="B3" i="33"/>
  <c r="B2" i="36"/>
  <c r="B3" i="36" s="1"/>
  <c r="B2" i="35"/>
  <c r="B3" i="35" s="1"/>
  <c r="B2" i="37"/>
  <c r="B3" i="37" s="1"/>
  <c r="B2" i="34"/>
  <c r="B3" i="34" s="1"/>
  <c r="B6" i="74"/>
  <c r="D6" i="74"/>
  <c r="AC37" i="21"/>
  <c r="AB41" i="21"/>
  <c r="AC34" i="21"/>
  <c r="S34" i="21"/>
  <c r="U43" i="21"/>
  <c r="W42" i="21"/>
  <c r="S42" i="21"/>
  <c r="AB15" i="21"/>
  <c r="AA23" i="21"/>
  <c r="U21" i="21"/>
  <c r="W17" i="21"/>
  <c r="U17" i="21"/>
  <c r="AA15" i="21"/>
  <c r="S9" i="79"/>
  <c r="T9" i="79"/>
  <c r="U9" i="79"/>
  <c r="V9" i="79"/>
  <c r="W9" i="79"/>
  <c r="S10" i="79"/>
  <c r="T10" i="79"/>
  <c r="W10" i="79" s="1"/>
  <c r="C23" i="43" s="1"/>
  <c r="U10" i="79"/>
  <c r="V10" i="79"/>
  <c r="S11" i="79"/>
  <c r="T11" i="79"/>
  <c r="U11" i="79"/>
  <c r="V11" i="79"/>
  <c r="W11" i="79"/>
  <c r="S12" i="79"/>
  <c r="T12" i="79"/>
  <c r="W12" i="79" s="1"/>
  <c r="U12" i="79"/>
  <c r="V12" i="79"/>
  <c r="S13" i="79"/>
  <c r="T13" i="79"/>
  <c r="U13" i="79"/>
  <c r="V13" i="79"/>
  <c r="W13" i="79"/>
  <c r="S14" i="79"/>
  <c r="T14" i="79"/>
  <c r="W14" i="79" s="1"/>
  <c r="U14" i="79"/>
  <c r="V14" i="79"/>
  <c r="F16" i="67"/>
  <c r="D2" i="37"/>
  <c r="M23" i="15"/>
  <c r="M26" i="15"/>
  <c r="E2" i="69"/>
  <c r="B7" i="76"/>
  <c r="B9" i="76"/>
  <c r="F36" i="67"/>
  <c r="F41" i="15"/>
  <c r="F5" i="73"/>
  <c r="D5" i="73"/>
  <c r="M24" i="15"/>
  <c r="C14" i="15"/>
  <c r="F42" i="67"/>
  <c r="D2" i="34"/>
  <c r="L47" i="67"/>
  <c r="E11" i="76"/>
  <c r="F43" i="15"/>
  <c r="E12" i="76"/>
  <c r="E10" i="76"/>
  <c r="F35" i="67"/>
  <c r="M9" i="67"/>
  <c r="F6" i="15"/>
  <c r="E9" i="76"/>
  <c r="F16" i="15"/>
  <c r="F9" i="67"/>
  <c r="F38" i="15"/>
  <c r="J15" i="67"/>
  <c r="M6" i="67"/>
  <c r="B10" i="76"/>
  <c r="AO8" i="1"/>
  <c r="F6" i="67"/>
  <c r="M23" i="67"/>
  <c r="M27" i="67"/>
  <c r="B13" i="76"/>
  <c r="M26" i="67"/>
  <c r="C76" i="67"/>
  <c r="F35" i="15"/>
  <c r="M21" i="67"/>
  <c r="F7" i="67"/>
  <c r="D7" i="73"/>
  <c r="E8" i="76"/>
  <c r="B8" i="76"/>
  <c r="F37" i="67"/>
  <c r="F3" i="73"/>
  <c r="AO7" i="1"/>
  <c r="F42" i="15"/>
  <c r="F8" i="67"/>
  <c r="M27" i="15"/>
  <c r="AO10" i="1"/>
  <c r="M8" i="67"/>
  <c r="F43" i="67"/>
  <c r="M28" i="15"/>
  <c r="D2" i="33"/>
  <c r="M9" i="15"/>
  <c r="M22" i="15"/>
  <c r="L47" i="15"/>
  <c r="AO11" i="1"/>
  <c r="L48" i="15"/>
  <c r="M24" i="67"/>
  <c r="M29" i="15"/>
  <c r="F38" i="67"/>
  <c r="D4" i="73"/>
  <c r="M8" i="15"/>
  <c r="AO12" i="1"/>
  <c r="M22" i="67"/>
  <c r="F7" i="73"/>
  <c r="F13" i="67"/>
  <c r="F40" i="15"/>
  <c r="F36" i="15"/>
  <c r="F37" i="15"/>
  <c r="F4" i="73"/>
  <c r="AO13" i="1"/>
  <c r="L48" i="67"/>
  <c r="M29" i="67"/>
  <c r="D3" i="73"/>
  <c r="F13" i="15"/>
  <c r="F6" i="73"/>
  <c r="D6" i="73"/>
  <c r="D35" i="9"/>
  <c r="F9" i="15"/>
  <c r="E2" i="68"/>
  <c r="D2" i="36"/>
  <c r="B12" i="76"/>
  <c r="M28" i="67"/>
  <c r="D2" i="35"/>
  <c r="D2" i="21"/>
  <c r="M21" i="15"/>
  <c r="M6" i="15"/>
  <c r="F7" i="15"/>
  <c r="F20" i="31"/>
  <c r="F26" i="15"/>
  <c r="F40" i="67"/>
  <c r="E13" i="76"/>
  <c r="F8" i="15"/>
  <c r="J15" i="15"/>
  <c r="AO9" i="1"/>
  <c r="B11" i="76"/>
  <c r="D34" i="9"/>
  <c r="F26" i="67"/>
  <c r="C76" i="15"/>
  <c r="E7" i="76"/>
  <c r="U37" i="21" l="1"/>
  <c r="AB37" i="21"/>
  <c r="F113" i="21"/>
  <c r="G113" i="21" s="1"/>
  <c r="H113" i="21" s="1"/>
  <c r="S37" i="21"/>
  <c r="C18" i="9"/>
  <c r="D18" i="9" s="1"/>
  <c r="I24" i="43"/>
  <c r="C24" i="43" s="1"/>
  <c r="C38" i="43" s="1"/>
  <c r="G6" i="1"/>
  <c r="G16" i="1" s="1"/>
  <c r="D63" i="40"/>
  <c r="C65" i="40"/>
  <c r="C38" i="11"/>
  <c r="P25" i="43"/>
  <c r="C48" i="68"/>
  <c r="C29" i="12"/>
  <c r="D28" i="12" s="1"/>
  <c r="P28" i="43"/>
  <c r="B66" i="40" s="1"/>
  <c r="H46" i="36"/>
  <c r="I46" i="36" s="1"/>
  <c r="J46" i="36" s="1"/>
  <c r="K46" i="36" s="1"/>
  <c r="L46" i="36" s="1"/>
  <c r="M46" i="36" s="1"/>
  <c r="N46" i="36" s="1"/>
  <c r="O46" i="36" s="1"/>
  <c r="H58" i="21"/>
  <c r="F52" i="37"/>
  <c r="E59" i="34"/>
  <c r="E48" i="35"/>
  <c r="D67" i="39"/>
  <c r="C69" i="39"/>
  <c r="H7" i="36"/>
  <c r="E58" i="33"/>
  <c r="C33" i="11"/>
  <c r="C39" i="11" s="1"/>
  <c r="C46" i="11" s="1"/>
  <c r="C45" i="11" s="1"/>
  <c r="C36" i="68"/>
  <c r="C7" i="78"/>
  <c r="D7" i="78" s="1"/>
  <c r="C5" i="78"/>
  <c r="D5" i="78" s="1"/>
  <c r="AC36" i="21"/>
  <c r="W36" i="21"/>
  <c r="E110" i="21"/>
  <c r="F110" i="21" s="1"/>
  <c r="G110" i="21" s="1"/>
  <c r="H110" i="21" s="1"/>
  <c r="I110" i="21" s="1"/>
  <c r="J110" i="21" s="1"/>
  <c r="K110" i="21" s="1"/>
  <c r="L110" i="21" s="1"/>
  <c r="M110" i="21" s="1"/>
  <c r="F36" i="21"/>
  <c r="S36" i="21" s="1"/>
  <c r="H36" i="21"/>
  <c r="J33" i="21"/>
  <c r="AC33" i="21" s="1"/>
  <c r="H33" i="21"/>
  <c r="F33" i="21"/>
  <c r="J26" i="21"/>
  <c r="AC26" i="21" s="1"/>
  <c r="F89" i="21"/>
  <c r="F26" i="21"/>
  <c r="AA27" i="21"/>
  <c r="AC27" i="21"/>
  <c r="U27" i="21"/>
  <c r="H32" i="21"/>
  <c r="AB32" i="21" s="1"/>
  <c r="B13" i="49"/>
  <c r="D13" i="49" s="1"/>
  <c r="F13" i="49"/>
  <c r="H13" i="49" s="1"/>
  <c r="F32" i="21"/>
  <c r="E101" i="21"/>
  <c r="F101" i="21" s="1"/>
  <c r="G101" i="21" s="1"/>
  <c r="H101" i="21" s="1"/>
  <c r="I101" i="21" s="1"/>
  <c r="J101" i="21" s="1"/>
  <c r="K101" i="21" s="1"/>
  <c r="L101" i="21" s="1"/>
  <c r="M101" i="21" s="1"/>
  <c r="AC32" i="21"/>
  <c r="W32" i="21"/>
  <c r="C29" i="69"/>
  <c r="D27" i="69" s="1"/>
  <c r="U34" i="21"/>
  <c r="B10" i="49"/>
  <c r="D10" i="49" s="1"/>
  <c r="F5" i="49"/>
  <c r="H5" i="49" s="1"/>
  <c r="B5" i="49"/>
  <c r="D5" i="49" s="1"/>
  <c r="F9" i="49"/>
  <c r="H9" i="49" s="1"/>
  <c r="C34" i="68"/>
  <c r="C35" i="68" s="1"/>
  <c r="B9" i="49"/>
  <c r="D9" i="49" s="1"/>
  <c r="B6" i="49"/>
  <c r="D6" i="49" s="1"/>
  <c r="B14" i="49"/>
  <c r="D14" i="49" s="1"/>
  <c r="F7" i="49"/>
  <c r="H7" i="49" s="1"/>
  <c r="F11" i="49"/>
  <c r="H11" i="49" s="1"/>
  <c r="C8" i="69"/>
  <c r="B7" i="49"/>
  <c r="D7" i="49" s="1"/>
  <c r="B11" i="49"/>
  <c r="D11" i="49" s="1"/>
  <c r="B4" i="49"/>
  <c r="D4" i="49" s="1"/>
  <c r="B8" i="49"/>
  <c r="D8" i="49" s="1"/>
  <c r="B12" i="49"/>
  <c r="D12" i="49" s="1"/>
  <c r="F4" i="49"/>
  <c r="H4" i="49" s="1"/>
  <c r="F6" i="49"/>
  <c r="H6" i="49" s="1"/>
  <c r="F8" i="49"/>
  <c r="H8" i="49" s="1"/>
  <c r="F10" i="49"/>
  <c r="H10" i="49" s="1"/>
  <c r="F12" i="49"/>
  <c r="H12" i="49" s="1"/>
  <c r="F14" i="49"/>
  <c r="H14" i="49" s="1"/>
  <c r="D19" i="69"/>
  <c r="D37" i="69" s="1"/>
  <c r="C37" i="69" s="1"/>
  <c r="F45" i="69"/>
  <c r="C14" i="12"/>
  <c r="C33" i="43"/>
  <c r="C40" i="43"/>
  <c r="C41" i="43"/>
  <c r="C42" i="43"/>
  <c r="T5" i="43"/>
  <c r="V5" i="43" s="1"/>
  <c r="T14" i="43"/>
  <c r="V14" i="43" s="1"/>
  <c r="T7" i="43"/>
  <c r="V7" i="43" s="1"/>
  <c r="T8" i="43"/>
  <c r="V8" i="43" s="1"/>
  <c r="T9" i="43"/>
  <c r="V9" i="43" s="1"/>
  <c r="T13" i="43"/>
  <c r="V13" i="43" s="1"/>
  <c r="C18" i="12"/>
  <c r="C8" i="68"/>
  <c r="C5" i="68" s="1"/>
  <c r="R16" i="1"/>
  <c r="B13" i="70"/>
  <c r="F65" i="67"/>
  <c r="F63" i="67"/>
  <c r="F51" i="67"/>
  <c r="F63" i="15"/>
  <c r="C27" i="15"/>
  <c r="F69" i="15"/>
  <c r="I1" i="73"/>
  <c r="B39" i="1" s="1"/>
  <c r="F64" i="15"/>
  <c r="J59" i="67"/>
  <c r="J60" i="67"/>
  <c r="Q48" i="67" s="1"/>
  <c r="L60" i="67"/>
  <c r="J53" i="67"/>
  <c r="J57" i="67"/>
  <c r="J55" i="67" s="1"/>
  <c r="J58" i="67" s="1"/>
  <c r="Q50" i="67" s="1"/>
  <c r="L56" i="67"/>
  <c r="C6" i="15"/>
  <c r="F31" i="15"/>
  <c r="F64" i="67"/>
  <c r="F51" i="15"/>
  <c r="M7" i="15"/>
  <c r="J6" i="15" s="1"/>
  <c r="F50" i="15"/>
  <c r="B8" i="70"/>
  <c r="L59" i="67"/>
  <c r="N59" i="67"/>
  <c r="L58" i="67"/>
  <c r="M59" i="67"/>
  <c r="F71" i="15"/>
  <c r="M17" i="15"/>
  <c r="J57" i="15"/>
  <c r="J55" i="15" s="1"/>
  <c r="J58" i="15" s="1"/>
  <c r="Q50" i="15" s="1"/>
  <c r="J53" i="15"/>
  <c r="L56" i="15" s="1"/>
  <c r="I54" i="15"/>
  <c r="B11" i="70"/>
  <c r="B12" i="70"/>
  <c r="B20" i="31"/>
  <c r="B21" i="31" s="1"/>
  <c r="J20" i="15"/>
  <c r="M7" i="67"/>
  <c r="M17" i="67" s="1"/>
  <c r="F50" i="67"/>
  <c r="F65" i="15"/>
  <c r="C15" i="15"/>
  <c r="C18" i="15"/>
  <c r="M59" i="15"/>
  <c r="L58" i="15"/>
  <c r="N59" i="15"/>
  <c r="L59" i="15"/>
  <c r="F68" i="67"/>
  <c r="C6" i="67"/>
  <c r="F31" i="67"/>
  <c r="B9" i="70"/>
  <c r="B10" i="70"/>
  <c r="B7" i="70"/>
  <c r="Q71" i="67"/>
  <c r="J20" i="67"/>
  <c r="Q71" i="15"/>
  <c r="F66" i="67"/>
  <c r="F66" i="15"/>
  <c r="C27" i="67"/>
  <c r="F71" i="67"/>
  <c r="F68" i="15"/>
  <c r="C15" i="12"/>
  <c r="C12" i="12"/>
  <c r="F45" i="68"/>
  <c r="C47" i="68"/>
  <c r="D45" i="68" s="1"/>
  <c r="C9" i="68"/>
  <c r="D19" i="68"/>
  <c r="C35" i="69"/>
  <c r="C38" i="69"/>
  <c r="C16" i="15"/>
  <c r="G1" i="73"/>
  <c r="C17" i="67"/>
  <c r="C17" i="15"/>
  <c r="C14" i="67"/>
  <c r="C16" i="67"/>
  <c r="T3" i="43" l="1"/>
  <c r="V3" i="43" s="1"/>
  <c r="T15" i="43"/>
  <c r="V15" i="43" s="1"/>
  <c r="C37" i="43"/>
  <c r="G37" i="43" s="1"/>
  <c r="I37" i="43" s="1"/>
  <c r="B40" i="1"/>
  <c r="F22" i="68" s="1"/>
  <c r="T16" i="43"/>
  <c r="V16" i="43" s="1"/>
  <c r="T6" i="43"/>
  <c r="V6" i="43" s="1"/>
  <c r="T10" i="43"/>
  <c r="V10" i="43" s="1"/>
  <c r="T4" i="43"/>
  <c r="V4" i="43" s="1"/>
  <c r="C39" i="43"/>
  <c r="E39" i="43" s="1"/>
  <c r="T12" i="43"/>
  <c r="V12" i="43" s="1"/>
  <c r="T11" i="43"/>
  <c r="V11" i="43" s="1"/>
  <c r="T2" i="43"/>
  <c r="V2" i="43" s="1"/>
  <c r="J7" i="36"/>
  <c r="AC7" i="36" s="1"/>
  <c r="V36" i="36" s="1"/>
  <c r="I36" i="36" s="1"/>
  <c r="F7" i="36"/>
  <c r="S7" i="36" s="1"/>
  <c r="D65" i="40"/>
  <c r="E63" i="40"/>
  <c r="F58" i="33"/>
  <c r="D69" i="39"/>
  <c r="E67" i="39"/>
  <c r="F59" i="34"/>
  <c r="F7" i="37"/>
  <c r="I58" i="21"/>
  <c r="W7" i="36"/>
  <c r="U7" i="36"/>
  <c r="AB7" i="36"/>
  <c r="T36" i="36" s="1"/>
  <c r="G36" i="36" s="1"/>
  <c r="F48" i="35"/>
  <c r="G52" i="37"/>
  <c r="H52" i="37" s="1"/>
  <c r="I52" i="37" s="1"/>
  <c r="J52" i="37" s="1"/>
  <c r="K52" i="37" s="1"/>
  <c r="L52" i="37" s="1"/>
  <c r="M52" i="37" s="1"/>
  <c r="N52" i="37" s="1"/>
  <c r="O52" i="37" s="1"/>
  <c r="J7" i="37"/>
  <c r="J10" i="40"/>
  <c r="J10" i="39"/>
  <c r="H10" i="39"/>
  <c r="H10" i="40"/>
  <c r="F10" i="39"/>
  <c r="F10" i="40"/>
  <c r="AA36" i="21"/>
  <c r="U36" i="21"/>
  <c r="AB36" i="21"/>
  <c r="W26" i="21"/>
  <c r="W33" i="21"/>
  <c r="AA33" i="21"/>
  <c r="S33" i="21"/>
  <c r="AB33" i="21"/>
  <c r="U33" i="21"/>
  <c r="U32" i="21"/>
  <c r="S26" i="21"/>
  <c r="AA26" i="21"/>
  <c r="G89" i="21"/>
  <c r="H89" i="21" s="1"/>
  <c r="I89" i="21" s="1"/>
  <c r="J89" i="21" s="1"/>
  <c r="K89" i="21" s="1"/>
  <c r="L89" i="21" s="1"/>
  <c r="M89" i="21" s="1"/>
  <c r="H26" i="21"/>
  <c r="AA32" i="21"/>
  <c r="S32" i="21"/>
  <c r="F59" i="67"/>
  <c r="F59" i="15"/>
  <c r="C38" i="68"/>
  <c r="J6" i="67"/>
  <c r="J19" i="67" s="1"/>
  <c r="C33" i="69"/>
  <c r="C39" i="69" s="1"/>
  <c r="C46" i="69" s="1"/>
  <c r="C45" i="69" s="1"/>
  <c r="C16" i="12"/>
  <c r="C21" i="12" s="1"/>
  <c r="C22" i="12" s="1"/>
  <c r="C30" i="12" s="1"/>
  <c r="C28" i="12" s="1"/>
  <c r="E41" i="43"/>
  <c r="G41" i="43"/>
  <c r="I41" i="43" s="1"/>
  <c r="G39" i="43"/>
  <c r="I39" i="43" s="1"/>
  <c r="E42" i="43"/>
  <c r="G42" i="43"/>
  <c r="I42" i="43" s="1"/>
  <c r="E40" i="43"/>
  <c r="G40" i="43"/>
  <c r="I40" i="43" s="1"/>
  <c r="E38" i="43"/>
  <c r="G38" i="43"/>
  <c r="I38" i="43" s="1"/>
  <c r="C6" i="69"/>
  <c r="E33" i="43"/>
  <c r="C34" i="43"/>
  <c r="E34" i="43" s="1"/>
  <c r="C15" i="67"/>
  <c r="C18" i="67"/>
  <c r="C19" i="15"/>
  <c r="Q60" i="67"/>
  <c r="Q73" i="67"/>
  <c r="Q61" i="67"/>
  <c r="Q74" i="67"/>
  <c r="C49" i="15"/>
  <c r="Q57" i="67"/>
  <c r="Q66" i="67"/>
  <c r="F11" i="15"/>
  <c r="M11" i="15"/>
  <c r="J10" i="15" s="1"/>
  <c r="J5" i="15" s="1"/>
  <c r="F11" i="67"/>
  <c r="C53" i="67" s="1"/>
  <c r="M11" i="67"/>
  <c r="J10" i="67" s="1"/>
  <c r="C19" i="68"/>
  <c r="D37" i="68"/>
  <c r="C37" i="68" s="1"/>
  <c r="C31" i="67"/>
  <c r="Q61" i="15"/>
  <c r="Q74" i="15"/>
  <c r="Q73" i="15"/>
  <c r="Q60" i="15"/>
  <c r="Q52" i="15"/>
  <c r="F1" i="15"/>
  <c r="J19" i="15"/>
  <c r="J17" i="15"/>
  <c r="J18" i="15"/>
  <c r="C31" i="15"/>
  <c r="Q52" i="67"/>
  <c r="F1" i="67"/>
  <c r="C49" i="67"/>
  <c r="AE6" i="1"/>
  <c r="F25" i="12" l="1"/>
  <c r="C26" i="12" s="1"/>
  <c r="D25" i="12" s="1"/>
  <c r="F24" i="15"/>
  <c r="C24" i="15" s="1"/>
  <c r="F24" i="67"/>
  <c r="C24" i="67" s="1"/>
  <c r="F22" i="69"/>
  <c r="F41" i="69" s="1"/>
  <c r="F22" i="11"/>
  <c r="C43" i="11" s="1"/>
  <c r="L36" i="43"/>
  <c r="M36" i="43" s="1"/>
  <c r="E37" i="43"/>
  <c r="H7" i="37"/>
  <c r="U7" i="37" s="1"/>
  <c r="AA7" i="36"/>
  <c r="R36" i="36" s="1"/>
  <c r="E36" i="36" s="1"/>
  <c r="I41" i="36" s="1"/>
  <c r="J41" i="36" s="1"/>
  <c r="F63" i="40"/>
  <c r="E65" i="40"/>
  <c r="S7" i="37"/>
  <c r="AA7" i="37"/>
  <c r="R42" i="37" s="1"/>
  <c r="G48" i="35"/>
  <c r="J58" i="21"/>
  <c r="G59" i="34"/>
  <c r="AB7" i="37"/>
  <c r="T42" i="37" s="1"/>
  <c r="G42" i="37" s="1"/>
  <c r="G41" i="36"/>
  <c r="H41" i="36" s="1"/>
  <c r="G40" i="36"/>
  <c r="H40" i="36" s="1"/>
  <c r="E69" i="39"/>
  <c r="F67" i="39"/>
  <c r="G58" i="33"/>
  <c r="AC7" i="37"/>
  <c r="V42" i="37" s="1"/>
  <c r="I42" i="37" s="1"/>
  <c r="W7" i="37"/>
  <c r="I40" i="36"/>
  <c r="J40" i="36" s="1"/>
  <c r="U10" i="40"/>
  <c r="AB10" i="40"/>
  <c r="AB10" i="39"/>
  <c r="U10" i="39"/>
  <c r="S10" i="40"/>
  <c r="AA10" i="40"/>
  <c r="W10" i="39"/>
  <c r="AC10" i="39"/>
  <c r="AA10" i="39"/>
  <c r="S10" i="39"/>
  <c r="W10" i="40"/>
  <c r="AC10" i="40"/>
  <c r="C30" i="43"/>
  <c r="B2" i="43" s="1"/>
  <c r="AB26" i="21"/>
  <c r="U26" i="21"/>
  <c r="J18" i="67"/>
  <c r="C33" i="68"/>
  <c r="C39" i="68" s="1"/>
  <c r="C43" i="68" s="1"/>
  <c r="J17" i="67"/>
  <c r="J5" i="67"/>
  <c r="J24" i="67" s="1"/>
  <c r="C19" i="67"/>
  <c r="C20" i="67" s="1"/>
  <c r="C31" i="43"/>
  <c r="C7" i="69"/>
  <c r="C5" i="69" s="1"/>
  <c r="C24" i="69"/>
  <c r="C25" i="11"/>
  <c r="C24" i="68"/>
  <c r="C20" i="68"/>
  <c r="C25" i="68" s="1"/>
  <c r="C53" i="15"/>
  <c r="C48" i="15" s="1"/>
  <c r="C10" i="15"/>
  <c r="C5" i="15" s="1"/>
  <c r="C20" i="15"/>
  <c r="C26" i="15" s="1"/>
  <c r="C48" i="67"/>
  <c r="C59" i="67"/>
  <c r="J24" i="15"/>
  <c r="J26" i="15"/>
  <c r="J29" i="15" s="1"/>
  <c r="C10" i="67"/>
  <c r="C5" i="67" s="1"/>
  <c r="C26" i="68"/>
  <c r="D22" i="68" s="1"/>
  <c r="C44" i="68"/>
  <c r="D41" i="68" s="1"/>
  <c r="F41" i="68"/>
  <c r="C23" i="68"/>
  <c r="C59" i="15"/>
  <c r="F41" i="67"/>
  <c r="B6" i="76"/>
  <c r="E6" i="76"/>
  <c r="C27" i="12" l="1"/>
  <c r="C25" i="12" s="1"/>
  <c r="C43" i="69"/>
  <c r="C42" i="69"/>
  <c r="C41" i="69" s="1"/>
  <c r="C26" i="69"/>
  <c r="D22" i="69" s="1"/>
  <c r="C26" i="11"/>
  <c r="D22" i="11" s="1"/>
  <c r="Q36" i="43"/>
  <c r="C32" i="12"/>
  <c r="B2" i="12" s="1"/>
  <c r="B3" i="12" s="1"/>
  <c r="C24" i="11"/>
  <c r="P36" i="43"/>
  <c r="C42" i="11"/>
  <c r="C41" i="11" s="1"/>
  <c r="O36" i="43"/>
  <c r="L37" i="43"/>
  <c r="O37" i="43" s="1"/>
  <c r="C44" i="11"/>
  <c r="D41" i="11" s="1"/>
  <c r="N36" i="43"/>
  <c r="C23" i="11"/>
  <c r="C44" i="69"/>
  <c r="D41" i="69" s="1"/>
  <c r="C23" i="67"/>
  <c r="R37" i="36"/>
  <c r="C37" i="36" s="1"/>
  <c r="G63" i="40"/>
  <c r="F65" i="40"/>
  <c r="H48" i="35"/>
  <c r="E42" i="37"/>
  <c r="R43" i="37"/>
  <c r="I46" i="37"/>
  <c r="J46" i="37" s="1"/>
  <c r="I47" i="37"/>
  <c r="J47" i="37" s="1"/>
  <c r="H58" i="33"/>
  <c r="K58" i="21"/>
  <c r="C36" i="36"/>
  <c r="F69" i="39"/>
  <c r="G67" i="39"/>
  <c r="G47" i="37"/>
  <c r="H47" i="37" s="1"/>
  <c r="G46" i="37"/>
  <c r="H46" i="37" s="1"/>
  <c r="H59" i="34"/>
  <c r="E41" i="36"/>
  <c r="F41" i="36" s="1"/>
  <c r="E40" i="36"/>
  <c r="F40" i="36" s="1"/>
  <c r="C42" i="68"/>
  <c r="C41" i="68" s="1"/>
  <c r="J26" i="67"/>
  <c r="J29" i="67" s="1"/>
  <c r="F69" i="67"/>
  <c r="C22" i="68"/>
  <c r="C26" i="67"/>
  <c r="E2" i="76"/>
  <c r="B2" i="76"/>
  <c r="C20" i="69"/>
  <c r="C25" i="69" s="1"/>
  <c r="C23" i="69"/>
  <c r="C23" i="15"/>
  <c r="C29" i="15" s="1"/>
  <c r="B3" i="43"/>
  <c r="C28" i="68"/>
  <c r="C27" i="68" s="1"/>
  <c r="C66" i="15"/>
  <c r="C46" i="68"/>
  <c r="C45" i="68" s="1"/>
  <c r="C38" i="67"/>
  <c r="C66" i="67"/>
  <c r="Q37" i="43"/>
  <c r="C38" i="15"/>
  <c r="P37" i="43" l="1"/>
  <c r="C22" i="11"/>
  <c r="C31" i="11" s="1"/>
  <c r="M37" i="43"/>
  <c r="N37" i="43"/>
  <c r="C49" i="11"/>
  <c r="C51" i="11" s="1"/>
  <c r="C49" i="69"/>
  <c r="C51" i="69" s="1"/>
  <c r="C29" i="67"/>
  <c r="C13" i="67" s="1"/>
  <c r="Q70" i="67" s="1"/>
  <c r="H63" i="40"/>
  <c r="G65" i="40"/>
  <c r="I48" i="35"/>
  <c r="C42" i="37"/>
  <c r="C43" i="37"/>
  <c r="I59" i="34"/>
  <c r="J59" i="34" s="1"/>
  <c r="K59" i="34" s="1"/>
  <c r="L59" i="34" s="1"/>
  <c r="M59" i="34" s="1"/>
  <c r="N59" i="34" s="1"/>
  <c r="O59" i="34" s="1"/>
  <c r="I58" i="33"/>
  <c r="E47" i="37"/>
  <c r="F47" i="37" s="1"/>
  <c r="E46" i="37"/>
  <c r="F46" i="37" s="1"/>
  <c r="H67" i="39"/>
  <c r="G69" i="39"/>
  <c r="L58" i="21"/>
  <c r="H7" i="34"/>
  <c r="C13" i="15"/>
  <c r="C37" i="15" s="1"/>
  <c r="J14" i="15"/>
  <c r="J22" i="15" s="1"/>
  <c r="C31" i="68"/>
  <c r="J59" i="15"/>
  <c r="J60" i="15" s="1"/>
  <c r="L46" i="15" s="1"/>
  <c r="Q49" i="15"/>
  <c r="C22" i="69"/>
  <c r="C49" i="68"/>
  <c r="C51" i="68" s="1"/>
  <c r="C36" i="15"/>
  <c r="C57" i="15"/>
  <c r="C64" i="15" s="1"/>
  <c r="C28" i="69"/>
  <c r="C27" i="69" s="1"/>
  <c r="B3" i="76"/>
  <c r="C52" i="11" l="1"/>
  <c r="B2" i="11" s="1"/>
  <c r="B3" i="11" s="1"/>
  <c r="C36" i="67"/>
  <c r="C57" i="67"/>
  <c r="C64" i="67" s="1"/>
  <c r="J14" i="67"/>
  <c r="J13" i="67" s="1"/>
  <c r="J23" i="67" s="1"/>
  <c r="Q49" i="67"/>
  <c r="F7" i="34"/>
  <c r="S7" i="34" s="1"/>
  <c r="J7" i="34"/>
  <c r="AC7" i="34" s="1"/>
  <c r="V49" i="34" s="1"/>
  <c r="I49" i="34" s="1"/>
  <c r="I63" i="40"/>
  <c r="H65" i="40"/>
  <c r="M58" i="21"/>
  <c r="AB7" i="34"/>
  <c r="T49" i="34" s="1"/>
  <c r="G49" i="34" s="1"/>
  <c r="U7" i="34"/>
  <c r="J58" i="33"/>
  <c r="J48" i="35"/>
  <c r="I67" i="39"/>
  <c r="H69" i="39"/>
  <c r="C56" i="67"/>
  <c r="C65" i="67" s="1"/>
  <c r="C52" i="68"/>
  <c r="B2" i="68" s="1"/>
  <c r="B3" i="68" s="1"/>
  <c r="C75" i="15"/>
  <c r="J13" i="15"/>
  <c r="J23" i="15" s="1"/>
  <c r="J16" i="15" s="1"/>
  <c r="J25" i="15" s="1"/>
  <c r="C75" i="67"/>
  <c r="Q48" i="15"/>
  <c r="C37" i="67"/>
  <c r="C31" i="69"/>
  <c r="C52" i="69" s="1"/>
  <c r="B2" i="69" s="1"/>
  <c r="B3" i="69" s="1"/>
  <c r="Q70" i="15"/>
  <c r="C56" i="15"/>
  <c r="C65" i="15" s="1"/>
  <c r="C58" i="15" s="1"/>
  <c r="C67" i="15" s="1"/>
  <c r="C68" i="15" s="1"/>
  <c r="C71" i="15" s="1"/>
  <c r="C30" i="15"/>
  <c r="C39" i="15" s="1"/>
  <c r="Q69" i="15" s="1"/>
  <c r="C56" i="11" l="1"/>
  <c r="C57" i="11" s="1"/>
  <c r="C58" i="67"/>
  <c r="C67" i="67" s="1"/>
  <c r="C68" i="67" s="1"/>
  <c r="C71" i="67" s="1"/>
  <c r="C30" i="67"/>
  <c r="C39" i="67" s="1"/>
  <c r="C80" i="67" s="1"/>
  <c r="C79" i="67" s="1"/>
  <c r="J22" i="67"/>
  <c r="J16" i="67" s="1"/>
  <c r="J25" i="67" s="1"/>
  <c r="AA7" i="34"/>
  <c r="R49" i="34" s="1"/>
  <c r="W7" i="34"/>
  <c r="I65" i="40"/>
  <c r="J63" i="40"/>
  <c r="J67" i="39"/>
  <c r="I69" i="39"/>
  <c r="K58" i="33"/>
  <c r="K48" i="35"/>
  <c r="G53" i="34"/>
  <c r="H53" i="34" s="1"/>
  <c r="G54" i="34"/>
  <c r="H54" i="34" s="1"/>
  <c r="N58" i="21"/>
  <c r="I53" i="34"/>
  <c r="J53" i="34" s="1"/>
  <c r="E49" i="34"/>
  <c r="R50" i="34"/>
  <c r="C57" i="68"/>
  <c r="C56" i="68" s="1"/>
  <c r="C57" i="69"/>
  <c r="C56" i="69" s="1"/>
  <c r="Q68" i="15"/>
  <c r="C40" i="15"/>
  <c r="Q47" i="15" s="1"/>
  <c r="Q53" i="15" s="1"/>
  <c r="C80" i="15"/>
  <c r="C79" i="15" s="1"/>
  <c r="L51" i="67"/>
  <c r="L51" i="15"/>
  <c r="L57" i="67" l="1"/>
  <c r="Q67" i="67"/>
  <c r="C40" i="67"/>
  <c r="C45" i="67" s="1"/>
  <c r="C46" i="67" s="1"/>
  <c r="Q69" i="67"/>
  <c r="Q68" i="67" s="1"/>
  <c r="J65" i="40"/>
  <c r="K63" i="40"/>
  <c r="C50" i="34"/>
  <c r="C49" i="34"/>
  <c r="L58" i="33"/>
  <c r="E54" i="34"/>
  <c r="F54" i="34" s="1"/>
  <c r="E53" i="34"/>
  <c r="F53" i="34" s="1"/>
  <c r="I54" i="34"/>
  <c r="J54" i="34" s="1"/>
  <c r="O58" i="21"/>
  <c r="F7" i="21"/>
  <c r="L48" i="35"/>
  <c r="J69" i="39"/>
  <c r="K67" i="39"/>
  <c r="Q56" i="15"/>
  <c r="Q67" i="15"/>
  <c r="L57" i="15"/>
  <c r="L60" i="15" s="1"/>
  <c r="Q57" i="15" s="1"/>
  <c r="C46" i="15"/>
  <c r="Q65" i="15"/>
  <c r="C83" i="15"/>
  <c r="C82" i="15" s="1"/>
  <c r="C43" i="15"/>
  <c r="B2" i="15"/>
  <c r="B3" i="15" s="1"/>
  <c r="D20" i="9"/>
  <c r="D19" i="9"/>
  <c r="Q56" i="67" l="1"/>
  <c r="Q62" i="67" s="1"/>
  <c r="D2" i="67"/>
  <c r="B2" i="67" s="1"/>
  <c r="C83" i="67"/>
  <c r="C82" i="67" s="1"/>
  <c r="Q65" i="67"/>
  <c r="Q75" i="67" s="1"/>
  <c r="Q47" i="67"/>
  <c r="Q53" i="67" s="1"/>
  <c r="C43" i="67"/>
  <c r="L63" i="40"/>
  <c r="K65" i="40"/>
  <c r="K69" i="39"/>
  <c r="L67" i="39"/>
  <c r="H7" i="21"/>
  <c r="J7" i="21"/>
  <c r="AA7" i="21"/>
  <c r="R48" i="21" s="1"/>
  <c r="S7" i="21"/>
  <c r="M48" i="35"/>
  <c r="M58" i="33"/>
  <c r="Q62" i="15"/>
  <c r="Q66" i="15"/>
  <c r="Q75" i="15" s="1"/>
  <c r="D21" i="9"/>
  <c r="D102" i="9"/>
  <c r="D103" i="9"/>
  <c r="AO6" i="1"/>
  <c r="B3" i="67" l="1"/>
  <c r="B6" i="70"/>
  <c r="B2" i="70" s="1"/>
  <c r="B3" i="70" s="1"/>
  <c r="L65" i="40"/>
  <c r="M63" i="40"/>
  <c r="W7" i="21"/>
  <c r="AC7" i="21"/>
  <c r="V48" i="21" s="1"/>
  <c r="I48" i="21" s="1"/>
  <c r="N58" i="33"/>
  <c r="O58" i="33" s="1"/>
  <c r="F7" i="33" s="1"/>
  <c r="H7" i="33"/>
  <c r="AB7" i="21"/>
  <c r="T48" i="21" s="1"/>
  <c r="G48" i="21" s="1"/>
  <c r="U7" i="21"/>
  <c r="M67" i="39"/>
  <c r="L69" i="39"/>
  <c r="N48" i="35"/>
  <c r="O48" i="35" s="1"/>
  <c r="H7" i="35"/>
  <c r="E48" i="21"/>
  <c r="N63" i="40" l="1"/>
  <c r="M65" i="40"/>
  <c r="S7" i="33"/>
  <c r="AA7" i="33"/>
  <c r="R48" i="33" s="1"/>
  <c r="J7" i="35"/>
  <c r="F7" i="35"/>
  <c r="G52" i="21"/>
  <c r="H52" i="21" s="1"/>
  <c r="G53" i="21"/>
  <c r="H53" i="21" s="1"/>
  <c r="I52" i="21"/>
  <c r="J52" i="21" s="1"/>
  <c r="I53" i="21"/>
  <c r="J53" i="21" s="1"/>
  <c r="R49" i="21"/>
  <c r="J7" i="33"/>
  <c r="U7" i="35"/>
  <c r="AB7" i="35"/>
  <c r="T38" i="35" s="1"/>
  <c r="G38" i="35" s="1"/>
  <c r="E52" i="21"/>
  <c r="F52" i="21" s="1"/>
  <c r="E53" i="21"/>
  <c r="F53" i="21" s="1"/>
  <c r="N67" i="39"/>
  <c r="M69" i="39"/>
  <c r="U7" i="33"/>
  <c r="AB7" i="33"/>
  <c r="T48" i="33" s="1"/>
  <c r="G48" i="33" s="1"/>
  <c r="F7" i="40" l="1"/>
  <c r="H7" i="40"/>
  <c r="J7" i="40"/>
  <c r="N65" i="40"/>
  <c r="O63" i="40"/>
  <c r="O65" i="40" s="1"/>
  <c r="S7" i="35"/>
  <c r="AA7" i="35"/>
  <c r="R38" i="35" s="1"/>
  <c r="O67" i="39"/>
  <c r="O69" i="39" s="1"/>
  <c r="N69" i="39"/>
  <c r="AC7" i="35"/>
  <c r="V38" i="35" s="1"/>
  <c r="I38" i="35" s="1"/>
  <c r="W7" i="35"/>
  <c r="G43" i="35"/>
  <c r="H43" i="35" s="1"/>
  <c r="G42" i="35"/>
  <c r="H42" i="35" s="1"/>
  <c r="G52" i="33"/>
  <c r="H52" i="33" s="1"/>
  <c r="W7" i="33"/>
  <c r="AC7" i="33"/>
  <c r="V48" i="33" s="1"/>
  <c r="I48" i="33" s="1"/>
  <c r="E48" i="33"/>
  <c r="R49" i="33"/>
  <c r="C48" i="21"/>
  <c r="C49" i="21"/>
  <c r="W7" i="40" l="1"/>
  <c r="AC7" i="40"/>
  <c r="V42" i="40" s="1"/>
  <c r="I42" i="40" s="1"/>
  <c r="U7" i="40"/>
  <c r="AB7" i="40"/>
  <c r="T42" i="40" s="1"/>
  <c r="G42" i="40" s="1"/>
  <c r="AA7" i="40"/>
  <c r="R42" i="40" s="1"/>
  <c r="S7" i="40"/>
  <c r="I52" i="33"/>
  <c r="J52" i="33" s="1"/>
  <c r="I53" i="33"/>
  <c r="J53" i="33" s="1"/>
  <c r="C49" i="33"/>
  <c r="C48" i="33"/>
  <c r="E52" i="33"/>
  <c r="F52" i="33" s="1"/>
  <c r="E53" i="33"/>
  <c r="F53" i="33" s="1"/>
  <c r="G53" i="33"/>
  <c r="H53" i="33" s="1"/>
  <c r="I42" i="35"/>
  <c r="J42" i="35" s="1"/>
  <c r="B3" i="21"/>
  <c r="B2" i="21"/>
  <c r="R39" i="35"/>
  <c r="E38" i="35"/>
  <c r="I43" i="35" s="1"/>
  <c r="J43" i="35" s="1"/>
  <c r="F7" i="39"/>
  <c r="H7" i="39"/>
  <c r="J7" i="39"/>
  <c r="C20" i="9"/>
  <c r="C19" i="9"/>
  <c r="G47" i="40" l="1"/>
  <c r="H47" i="40" s="1"/>
  <c r="G46" i="40"/>
  <c r="H46" i="40" s="1"/>
  <c r="I46" i="40"/>
  <c r="J46" i="40" s="1"/>
  <c r="R43" i="40"/>
  <c r="E42" i="40"/>
  <c r="I47" i="40" s="1"/>
  <c r="J47" i="40" s="1"/>
  <c r="C21" i="9"/>
  <c r="C102" i="9"/>
  <c r="D22" i="9"/>
  <c r="G19" i="9"/>
  <c r="G21" i="9" s="1"/>
  <c r="C103" i="9"/>
  <c r="G20" i="9"/>
  <c r="AB7" i="39"/>
  <c r="T47" i="39" s="1"/>
  <c r="G47" i="39" s="1"/>
  <c r="U7" i="39"/>
  <c r="AC7" i="39"/>
  <c r="V47" i="39" s="1"/>
  <c r="I47" i="39" s="1"/>
  <c r="W7" i="39"/>
  <c r="C38" i="35"/>
  <c r="C39" i="35"/>
  <c r="M3" i="35" s="1"/>
  <c r="S7" i="39"/>
  <c r="AA7" i="39"/>
  <c r="R47" i="39" s="1"/>
  <c r="E42" i="35"/>
  <c r="F42" i="35" s="1"/>
  <c r="E43" i="35"/>
  <c r="F43" i="35" s="1"/>
  <c r="E47" i="40" l="1"/>
  <c r="F47" i="40" s="1"/>
  <c r="E46" i="40"/>
  <c r="F46" i="40" s="1"/>
  <c r="C43" i="40"/>
  <c r="C42" i="40"/>
  <c r="E47" i="39"/>
  <c r="R48" i="39"/>
  <c r="G52" i="39"/>
  <c r="H52" i="39" s="1"/>
  <c r="G51" i="39"/>
  <c r="H51" i="39" s="1"/>
  <c r="G23" i="9"/>
  <c r="C32" i="9"/>
  <c r="C35" i="9" s="1"/>
  <c r="C34" i="9" s="1"/>
  <c r="K21" i="9"/>
  <c r="E14" i="74"/>
  <c r="D14" i="74" s="1"/>
  <c r="I52" i="39"/>
  <c r="J52" i="39" s="1"/>
  <c r="I51" i="39"/>
  <c r="J51" i="39" s="1"/>
  <c r="B58" i="40" l="1"/>
  <c r="F58" i="40" s="1"/>
  <c r="B53" i="40"/>
  <c r="F53" i="40" s="1"/>
  <c r="B56" i="40"/>
  <c r="F56" i="40" s="1"/>
  <c r="B51" i="40"/>
  <c r="F51" i="40" s="1"/>
  <c r="B54" i="40"/>
  <c r="F54" i="40" s="1"/>
  <c r="B52" i="40"/>
  <c r="F52" i="40" s="1"/>
  <c r="B59" i="40"/>
  <c r="F59" i="40" s="1"/>
  <c r="B57" i="40"/>
  <c r="F57" i="40" s="1"/>
  <c r="B60" i="40"/>
  <c r="F60" i="40" s="1"/>
  <c r="F61" i="40"/>
  <c r="B2" i="40" s="1"/>
  <c r="B3" i="40" s="1"/>
  <c r="F14" i="74"/>
  <c r="B5" i="74"/>
  <c r="C48" i="39"/>
  <c r="C47" i="39"/>
  <c r="E51" i="39"/>
  <c r="F51" i="39" s="1"/>
  <c r="E52" i="39"/>
  <c r="F52" i="39" s="1"/>
  <c r="B64" i="39" l="1"/>
  <c r="F64" i="39" s="1"/>
  <c r="B63" i="39"/>
  <c r="F63" i="39" s="1"/>
  <c r="B56" i="39"/>
  <c r="F56" i="39" s="1"/>
  <c r="F65" i="39" s="1"/>
  <c r="B2" i="39" s="1"/>
  <c r="B3" i="39" s="1"/>
  <c r="B61" i="39"/>
  <c r="F61" i="39" s="1"/>
  <c r="B60" i="39"/>
  <c r="F60" i="39" s="1"/>
  <c r="B58" i="39"/>
  <c r="F58" i="39" s="1"/>
  <c r="B57" i="39"/>
  <c r="F57" i="39" s="1"/>
  <c r="B59" i="39"/>
  <c r="F59" i="39" s="1"/>
  <c r="B62" i="39"/>
  <c r="F62" i="39" s="1"/>
  <c r="D5" i="74"/>
  <c r="I4" i="52"/>
  <c r="C105" i="9"/>
  <c r="D8" i="52"/>
  <c r="M54" i="9"/>
  <c r="C81" i="9"/>
  <c r="N61" i="9"/>
  <c r="N60" i="9"/>
  <c r="C86" i="9"/>
  <c r="D123" i="9"/>
  <c r="D9" i="52"/>
  <c r="C73" i="9"/>
  <c r="B32" i="72"/>
  <c r="M48" i="9"/>
  <c r="D53" i="9"/>
  <c r="D52" i="9"/>
  <c r="C93" i="9"/>
  <c r="C78" i="9"/>
  <c r="C104" i="9"/>
  <c r="H4" i="52"/>
  <c r="N59" i="9"/>
  <c r="N58" i="9"/>
  <c r="P57" i="9"/>
  <c r="C6" i="74"/>
  <c r="B20" i="72"/>
  <c r="D54" i="9"/>
  <c r="C68" i="9"/>
  <c r="G4" i="52"/>
  <c r="B52" i="72"/>
  <c r="D122" i="9"/>
  <c r="N57" i="9"/>
  <c r="B48" i="72"/>
  <c r="C5" i="74"/>
  <c r="E4" i="52"/>
  <c r="F4" i="52"/>
  <c r="B51" i="72"/>
  <c r="D5" i="53"/>
  <c r="D6" i="53"/>
  <c r="B22" i="72"/>
  <c r="G118" i="9"/>
  <c r="F118" i="9"/>
  <c r="F119" i="9"/>
  <c r="F5" i="52"/>
  <c r="B53" i="72"/>
  <c r="D55" i="9"/>
  <c r="M53" i="9"/>
  <c r="D4" i="52"/>
  <c r="B47" i="72"/>
  <c r="C80" i="9"/>
  <c r="E80" i="9"/>
  <c r="E81" i="9"/>
  <c r="B30" i="72"/>
  <c r="D13" i="53"/>
  <c r="D14" i="53"/>
  <c r="E118" i="9"/>
  <c r="D118" i="9"/>
  <c r="D119" i="9"/>
  <c r="D5" i="52"/>
  <c r="B49" i="72"/>
  <c r="H102" i="9"/>
  <c r="D7" i="53"/>
  <c r="B21" i="72"/>
  <c r="H119" i="9"/>
  <c r="H5" i="52"/>
  <c r="H107" i="9"/>
  <c r="H108" i="9"/>
  <c r="D15" i="53"/>
  <c r="B31" i="72"/>
  <c r="C96" i="9"/>
  <c r="E96" i="9"/>
  <c r="E97" i="9"/>
  <c r="C85" i="9"/>
  <c r="C95" i="9"/>
  <c r="C97" i="9"/>
  <c r="D58" i="9"/>
  <c r="D56" i="9"/>
  <c r="C72" i="9"/>
  <c r="C79" i="9"/>
  <c r="I118" i="9"/>
  <c r="H118" i="9"/>
  <c r="H101" i="9"/>
  <c r="D45" i="9"/>
  <c r="C64" i="9"/>
  <c r="C63" i="9"/>
  <c r="C67" i="9"/>
  <c r="D59" i="9"/>
  <c r="M5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<sst xmlns="http://schemas.openxmlformats.org/spreadsheetml/2006/main" count="7892" uniqueCount="3450">
  <si>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</si>
  <si>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</si>
  <si>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</si>
  <si>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</si>
  <si>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</si>
  <si>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</si>
  <si>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</si>
  <si>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</si>
  <si>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</si>
  <si>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</si>
  <si>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</si>
  <si>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</si>
  <si>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</si>
  <si>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</si>
  <si>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</si>
  <si>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</si>
  <si>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</si>
  <si>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</si>
  <si>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</si>
  <si>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</si>
  <si>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</si>
  <si>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</si>
  <si>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</si>
  <si>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</si>
  <si>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</si>
  <si>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</si>
  <si>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</si>
  <si>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</si>
  <si>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</si>
  <si>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</si>
  <si>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</si>
  <si>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</si>
  <si>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</si>
  <si>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</si>
  <si>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</si>
  <si>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</si>
  <si>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</si>
  <si>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</si>
  <si>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</si>
  <si>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</si>
  <si>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</si>
  <si>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</si>
  <si>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</si>
  <si>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</si>
  <si>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</si>
  <si>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</si>
  <si>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</si>
  <si>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</si>
  <si>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</si>
  <si>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</si>
  <si>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</si>
  <si>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</si>
  <si>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</si>
  <si>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</si>
  <si>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</si>
  <si>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</si>
  <si>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</si>
  <si>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</si>
  <si>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</si>
  <si>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</si>
  <si>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</si>
  <si>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</si>
  <si>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</si>
  <si>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</si>
  <si>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</si>
  <si>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</si>
  <si>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</si>
  <si>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</si>
  <si>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</si>
  <si>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</si>
  <si>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</si>
  <si>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</si>
  <si>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</si>
  <si>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</si>
  <si>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</si>
  <si>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</si>
  <si>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</si>
  <si>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</si>
  <si>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</si>
  <si>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</si>
  <si>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</si>
  <si>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</si>
  <si>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</si>
  <si>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</si>
  <si>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</si>
  <si>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</si>
  <si>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</si>
  <si>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</si>
  <si>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</si>
  <si>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</si>
  <si>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</si>
  <si>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</si>
  <si>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</si>
  <si>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</si>
  <si>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</si>
  <si>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</si>
  <si>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</si>
  <si>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</si>
  <si>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</si>
  <si>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</si>
  <si>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</si>
  <si>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</si>
  <si>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</si>
  <si>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</si>
  <si>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</si>
  <si>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</si>
  <si>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</si>
  <si>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</si>
  <si>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</si>
  <si>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</si>
  <si>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</si>
  <si>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</si>
  <si>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</si>
  <si>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</si>
  <si>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</si>
  <si>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</si>
  <si>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</si>
  <si>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</si>
  <si>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</si>
  <si>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</si>
  <si>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</si>
  <si>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</si>
  <si>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</si>
  <si>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</si>
  <si>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</si>
  <si>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</si>
  <si>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</si>
  <si>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</si>
  <si>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</si>
  <si>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</si>
  <si>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</si>
  <si>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</si>
  <si>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</si>
  <si>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</si>
  <si>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</si>
  <si>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</si>
  <si>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</si>
  <si>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</si>
  <si>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</si>
  <si>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</si>
  <si>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</si>
  <si>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</si>
  <si>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</si>
  <si>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</si>
  <si>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</si>
  <si>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</si>
  <si>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</si>
  <si>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</si>
  <si>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</si>
  <si>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</si>
  <si>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</si>
  <si>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</si>
  <si>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</si>
  <si>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</si>
  <si>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</si>
  <si>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</si>
  <si>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</si>
  <si>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</si>
  <si>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</si>
  <si>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</si>
  <si>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</si>
  <si>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</si>
  <si>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</si>
  <si>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</si>
  <si>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</si>
  <si>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</si>
  <si>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</si>
  <si>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</si>
  <si>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</si>
  <si>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</si>
  <si>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</si>
  <si>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</si>
  <si>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</si>
  <si>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</si>
  <si>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</si>
  <si>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</si>
  <si>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</si>
  <si>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</si>
  <si>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</si>
  <si>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</si>
  <si>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</si>
  <si>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</si>
  <si>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</si>
  <si>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</si>
  <si>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</si>
  <si>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</si>
  <si>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</si>
  <si>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</si>
  <si>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</si>
  <si>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</si>
  <si>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</si>
  <si>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</si>
  <si>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</si>
  <si>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</si>
  <si>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</si>
  <si>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</si>
  <si>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</si>
  <si>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</si>
  <si>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</si>
  <si>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</si>
  <si>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</si>
  <si>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</si>
  <si>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</si>
  <si>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</si>
  <si>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</si>
  <si>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</si>
  <si>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</si>
  <si>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</si>
  <si>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</si>
  <si>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</si>
  <si>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</si>
  <si>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</si>
  <si>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</si>
  <si>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</si>
  <si>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</si>
  <si>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</si>
  <si>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</si>
  <si>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</si>
  <si>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</si>
  <si>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</si>
  <si>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</si>
  <si>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</si>
  <si>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</si>
  <si>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</si>
  <si>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</si>
  <si>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</si>
  <si>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</si>
  <si>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</si>
  <si>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</si>
  <si>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</si>
  <si>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</si>
  <si>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</si>
  <si>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</si>
  <si>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</si>
  <si>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</si>
  <si>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</si>
  <si>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</si>
  <si>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</si>
  <si>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</si>
  <si>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</si>
  <si>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</si>
  <si>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</si>
  <si>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</si>
  <si>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</si>
  <si>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</si>
  <si>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</si>
  <si>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</si>
  <si>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</si>
  <si>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</si>
  <si>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</si>
  <si>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</si>
  <si>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</si>
  <si>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</si>
  <si>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</si>
  <si>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</si>
  <si>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</si>
  <si>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</si>
  <si>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</si>
  <si>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</si>
  <si>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</si>
  <si>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</si>
  <si>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</si>
  <si>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</si>
  <si>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</si>
  <si>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</si>
  <si>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</si>
  <si>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</si>
  <si>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</si>
  <si>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</si>
  <si>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</si>
  <si>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</si>
  <si>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</si>
  <si>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</si>
  <si>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</si>
  <si>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</si>
  <si>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</si>
  <si>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</si>
  <si>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</si>
  <si>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</si>
  <si>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</si>
  <si>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</si>
  <si>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</si>
  <si>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</si>
  <si>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</si>
  <si>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</si>
  <si>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</si>
  <si>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</si>
  <si>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</si>
  <si>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</si>
  <si>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</si>
  <si>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</si>
  <si>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</si>
  <si>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</si>
  <si>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</si>
  <si>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</si>
  <si>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</si>
  <si>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</si>
  <si>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</si>
  <si>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</si>
  <si>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</si>
  <si>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</si>
  <si>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</si>
  <si>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</si>
  <si>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</si>
  <si>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</si>
  <si>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</si>
  <si>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</si>
  <si>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</si>
  <si>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</si>
  <si>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</si>
  <si>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</si>
  <si>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</si>
  <si>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</si>
  <si>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</si>
  <si>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</si>
  <si>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</si>
  <si>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</si>
  <si>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</si>
  <si>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</si>
  <si>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</si>
  <si>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</si>
  <si>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</si>
  <si>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</si>
  <si>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</si>
  <si>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</si>
  <si>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</si>
  <si>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</si>
  <si>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</si>
  <si>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</si>
  <si>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</si>
  <si>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</si>
  <si>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</si>
  <si>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</si>
  <si>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</si>
  <si>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</si>
  <si>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</si>
  <si>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</si>
  <si>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</si>
  <si>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</si>
  <si>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</si>
  <si>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</si>
  <si>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</si>
  <si>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</si>
  <si>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</si>
  <si>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</si>
  <si>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</si>
  <si>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</si>
  <si>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</si>
  <si>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</si>
  <si>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</si>
  <si>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</si>
  <si>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</si>
  <si>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</si>
  <si>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</si>
  <si>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</si>
  <si>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</si>
  <si>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</si>
  <si>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</si>
  <si>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</si>
  <si>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</si>
  <si>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</si>
  <si>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</si>
  <si>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</si>
  <si>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</si>
  <si>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</si>
  <si>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</si>
  <si>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</si>
  <si>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</si>
  <si>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</si>
  <si>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</si>
  <si>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</si>
  <si>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</si>
  <si>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</si>
  <si>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</si>
  <si>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</si>
  <si>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</si>
  <si>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</si>
  <si>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</si>
  <si>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</si>
  <si>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</si>
  <si>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</si>
  <si>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</si>
  <si>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</si>
  <si>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</si>
  <si>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</si>
  <si>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</si>
  <si>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</si>
  <si>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</si>
  <si>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</si>
  <si>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</si>
  <si>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</si>
  <si>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</si>
  <si>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</si>
  <si>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</si>
  <si>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</si>
  <si>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</si>
  <si>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</si>
  <si>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</si>
  <si>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</si>
  <si>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</si>
  <si>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</si>
  <si>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</si>
  <si>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</si>
  <si>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</si>
  <si>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</si>
  <si>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</si>
  <si>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</si>
  <si>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</si>
  <si>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</si>
  <si>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</si>
  <si>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</si>
  <si>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</si>
  <si>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</si>
  <si>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</si>
  <si>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</si>
  <si>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</si>
  <si>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</si>
  <si>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</si>
  <si>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</si>
  <si>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</si>
  <si>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</si>
  <si>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</si>
  <si>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</si>
  <si>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</si>
  <si>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</si>
  <si>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</si>
  <si>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</si>
  <si>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</si>
  <si>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</si>
  <si>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</si>
  <si>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</si>
  <si>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</si>
  <si>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</si>
  <si>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</si>
  <si>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</si>
  <si>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</si>
  <si>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</si>
  <si>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</si>
  <si>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</si>
  <si>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</si>
  <si>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</si>
  <si>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</si>
  <si>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</si>
  <si>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</si>
  <si>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</si>
  <si>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</si>
  <si>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</si>
  <si>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</si>
  <si>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</si>
  <si>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</si>
  <si>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</si>
  <si>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</si>
  <si>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</si>
  <si>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</si>
  <si>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</si>
  <si>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</si>
  <si>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</si>
  <si>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</si>
  <si>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</si>
  <si>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</si>
  <si>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</si>
  <si>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</si>
  <si>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</si>
  <si>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</si>
  <si>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</si>
  <si>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</si>
  <si>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</si>
  <si>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</si>
  <si>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</si>
  <si>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</si>
  <si>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</si>
  <si>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</si>
  <si>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</si>
  <si>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</si>
  <si>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</si>
  <si>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</si>
  <si>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</si>
  <si>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</si>
  <si>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</si>
  <si>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</si>
  <si>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</si>
  <si>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</si>
  <si>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</si>
  <si>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</si>
  <si>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</si>
  <si>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</si>
  <si>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</si>
  <si>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</si>
  <si>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</si>
  <si>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</si>
  <si>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</si>
  <si>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</si>
  <si>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</si>
  <si>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</si>
  <si>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</si>
  <si>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</si>
  <si>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</si>
  <si>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</si>
  <si>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</si>
  <si>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</si>
  <si>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</si>
  <si>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</si>
  <si>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</si>
  <si>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</si>
  <si>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</si>
  <si>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</si>
  <si>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</si>
  <si>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</si>
  <si>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</si>
  <si>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</si>
  <si>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</si>
  <si>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</si>
  <si>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</si>
  <si>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</si>
  <si>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</si>
  <si>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</si>
  <si>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</si>
  <si>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</si>
  <si>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</si>
  <si>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</si>
  <si>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</si>
  <si>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</si>
  <si>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</si>
  <si>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</si>
  <si>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</si>
  <si>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</si>
  <si>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</si>
  <si>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</si>
  <si>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</si>
  <si>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</si>
  <si>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</si>
  <si>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</si>
  <si>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</si>
  <si>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</si>
  <si>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</si>
  <si>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</si>
  <si>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</si>
  <si>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</si>
  <si>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</si>
  <si>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</si>
  <si>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</si>
  <si>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</si>
  <si>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</si>
  <si>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</si>
  <si>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</si>
  <si>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</si>
  <si>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</si>
  <si>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</si>
  <si>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</si>
  <si>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</si>
  <si>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</si>
  <si>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</si>
  <si>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</si>
  <si>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</si>
  <si>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</si>
  <si>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</si>
  <si>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</si>
  <si>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</si>
  <si>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</si>
  <si>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</si>
  <si>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</si>
  <si>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</si>
  <si>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</si>
  <si>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</si>
  <si>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</si>
  <si>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</si>
  <si>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</si>
  <si>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</si>
  <si>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</si>
  <si>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</si>
  <si>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</si>
  <si>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</si>
  <si>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</si>
  <si>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</si>
  <si>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</si>
  <si>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</si>
  <si>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</si>
  <si>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</si>
  <si>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</si>
  <si>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</si>
  <si>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</si>
  <si>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</si>
  <si>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</si>
  <si>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</si>
  <si>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</si>
  <si>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</si>
  <si>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</si>
  <si>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</si>
  <si>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</si>
  <si>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</si>
  <si>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</si>
  <si>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</si>
  <si>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</si>
  <si>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</si>
  <si>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</si>
  <si>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</si>
  <si>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</si>
  <si>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</si>
  <si>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</si>
  <si>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</si>
  <si>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</si>
  <si>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</si>
  <si>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</si>
  <si>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</si>
  <si>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</si>
  <si>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</si>
  <si>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</si>
  <si>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</si>
  <si>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</si>
  <si>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</si>
  <si>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</si>
  <si>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</si>
  <si>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</si>
  <si>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</si>
  <si>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</si>
  <si>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</si>
  <si>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</si>
  <si>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</si>
  <si>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</si>
  <si>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</si>
  <si>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</si>
  <si>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</si>
  <si>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</si>
  <si>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</si>
  <si>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</si>
  <si>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</si>
  <si>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</si>
  <si>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</si>
  <si>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</si>
  <si>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</si>
  <si>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</si>
  <si>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</si>
  <si>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</si>
  <si>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</si>
  <si>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</si>
  <si>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</si>
  <si>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</si>
  <si>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</si>
  <si>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</si>
  <si>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</si>
  <si>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</si>
  <si>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</si>
  <si>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</si>
  <si>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</si>
  <si>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</si>
  <si>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</si>
  <si>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</si>
  <si>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</si>
  <si>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</si>
  <si>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</si>
  <si>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</si>
  <si>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</si>
  <si>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</si>
  <si>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</si>
  <si>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</si>
  <si>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</si>
  <si>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</si>
  <si>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</si>
  <si>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</si>
  <si>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</si>
  <si>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</si>
  <si>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</si>
  <si>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</si>
  <si>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</si>
  <si>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</si>
  <si>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</si>
  <si>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</si>
  <si>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</si>
  <si>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</si>
  <si>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</si>
  <si>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</si>
  <si>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</si>
  <si>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</si>
  <si>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</si>
  <si>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</si>
  <si>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</si>
  <si>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</si>
  <si>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</si>
  <si>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</si>
  <si>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</si>
  <si>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</si>
  <si>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</si>
  <si>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</si>
  <si>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</si>
  <si>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</si>
  <si>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</si>
  <si>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</si>
  <si>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</si>
  <si>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</si>
  <si>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</si>
  <si>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</si>
  <si>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</si>
  <si>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</si>
  <si>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</si>
  <si>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</si>
  <si>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</si>
  <si>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</si>
  <si>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</si>
  <si>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</si>
  <si>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</si>
  <si>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</si>
  <si>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</si>
  <si>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</si>
  <si>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</si>
  <si>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</si>
  <si>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</si>
  <si>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</si>
  <si>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</si>
  <si>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</si>
  <si>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</si>
  <si>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</si>
  <si>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</si>
  <si>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</si>
  <si>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</si>
  <si>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</si>
  <si>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</si>
  <si>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</si>
  <si>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</si>
  <si>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</si>
  <si>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</si>
  <si>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</si>
  <si>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</si>
  <si>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</si>
  <si>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</si>
  <si>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</si>
  <si>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</si>
  <si>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</si>
  <si>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</si>
  <si>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</si>
  <si>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</si>
  <si>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</si>
  <si>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</si>
  <si>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</si>
  <si>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</si>
  <si>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</si>
  <si>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</si>
  <si>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</si>
  <si>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</si>
  <si>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</si>
  <si>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</si>
  <si>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</si>
  <si>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</si>
  <si>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</si>
  <si>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</si>
  <si>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</si>
  <si>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</si>
  <si>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</si>
  <si>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</si>
  <si>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</si>
  <si>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</si>
  <si>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</si>
  <si>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</si>
  <si>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</si>
  <si>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</si>
  <si>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</si>
  <si>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</si>
  <si>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</si>
  <si>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</si>
  <si>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</si>
  <si>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</si>
  <si>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</si>
  <si>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</si>
  <si>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</si>
  <si>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</si>
  <si>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</si>
  <si>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</si>
  <si>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</si>
  <si>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</si>
  <si>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</si>
  <si>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</si>
  <si>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</si>
  <si>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</si>
  <si>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</si>
  <si>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</si>
  <si>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</si>
  <si>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</si>
  <si>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</si>
  <si>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</si>
  <si>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</si>
  <si>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</si>
  <si>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</si>
  <si>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</si>
  <si>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</si>
  <si>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</si>
  <si>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</si>
  <si>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</si>
  <si>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</si>
  <si>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</si>
  <si>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</si>
  <si>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</si>
  <si>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</si>
  <si>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</si>
  <si>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</si>
  <si>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</si>
  <si>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</si>
  <si>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</si>
  <si>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</si>
  <si>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</si>
  <si>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</si>
  <si>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</si>
  <si>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</si>
  <si>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</si>
  <si>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</si>
  <si>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</si>
  <si>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</si>
  <si>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</si>
  <si>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</si>
  <si>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</si>
  <si>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</si>
  <si>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</si>
  <si>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</si>
  <si>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</si>
  <si>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</si>
  <si>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</si>
  <si>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</si>
  <si>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</si>
  <si>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</si>
  <si>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</si>
  <si>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</si>
  <si>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</si>
  <si>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</si>
  <si>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</si>
  <si>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</si>
  <si>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</si>
  <si>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</si>
  <si>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</si>
  <si>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</si>
  <si>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</si>
  <si>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</si>
  <si>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</si>
  <si>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</si>
  <si>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</si>
  <si>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</si>
  <si>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</si>
  <si>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</si>
  <si>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</si>
  <si>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</si>
  <si>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</si>
  <si>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</si>
  <si>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</si>
  <si>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</si>
  <si>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</si>
  <si>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</si>
  <si>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</si>
  <si>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</si>
  <si>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</si>
  <si>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</si>
  <si>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</si>
  <si>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</si>
  <si>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</si>
  <si>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</si>
  <si>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</si>
  <si>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</si>
  <si>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</si>
  <si>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</si>
  <si>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</si>
  <si>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</si>
  <si>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</si>
  <si>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</si>
  <si>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</si>
  <si>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</si>
  <si>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</si>
  <si>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</si>
  <si>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</si>
  <si>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</si>
  <si>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</si>
  <si>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</si>
  <si>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</si>
  <si>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</si>
  <si>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</si>
  <si>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</si>
  <si>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</si>
  <si>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</si>
  <si>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</si>
  <si>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</si>
  <si>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</si>
  <si>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</si>
  <si>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</si>
  <si>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</si>
  <si>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</si>
  <si>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</si>
  <si>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</si>
  <si>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</si>
  <si>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</si>
  <si>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</si>
  <si>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</si>
  <si>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</si>
  <si>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</si>
  <si>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</si>
  <si>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</si>
  <si>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</si>
  <si>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</si>
  <si>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</si>
  <si>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</si>
  <si>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</si>
  <si>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</si>
  <si>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</si>
  <si>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</si>
  <si>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</si>
  <si>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</si>
  <si>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</si>
  <si>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</si>
  <si>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</si>
  <si>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</si>
  <si>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</si>
  <si>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</si>
  <si>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</si>
  <si>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</si>
  <si>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</si>
  <si>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</si>
  <si>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</si>
  <si>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</si>
  <si>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</si>
  <si>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</si>
  <si>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</si>
  <si>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</si>
  <si>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</si>
  <si>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</si>
  <si>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</si>
  <si>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</si>
  <si>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</si>
  <si>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</si>
  <si>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</si>
  <si>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</si>
  <si>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</si>
  <si>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</si>
  <si>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</si>
  <si>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</si>
  <si>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</si>
  <si>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</si>
  <si>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</si>
  <si>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</si>
  <si>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</si>
  <si>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</si>
  <si>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</si>
  <si>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</si>
  <si>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</si>
  <si>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</si>
  <si>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</si>
  <si>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</si>
  <si>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</si>
  <si>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</si>
  <si>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</si>
  <si>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</si>
  <si>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</si>
  <si>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</si>
  <si>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</si>
  <si>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</si>
  <si>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</si>
  <si>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</si>
  <si>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</si>
  <si>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</si>
  <si>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</si>
  <si>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</si>
  <si>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</si>
  <si>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</si>
  <si>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</si>
  <si>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</si>
  <si>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</si>
  <si>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</si>
  <si>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</si>
  <si>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</si>
  <si>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</si>
  <si>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</si>
  <si>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</si>
  <si>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</si>
  <si>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</si>
  <si>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</si>
  <si>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</si>
  <si>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</si>
  <si>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</si>
  <si>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</si>
  <si>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</si>
  <si>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</si>
  <si>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</si>
  <si>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</si>
  <si>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</si>
  <si>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</si>
  <si>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</si>
  <si>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</si>
  <si>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</si>
  <si>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</si>
  <si>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</si>
  <si>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</si>
  <si>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</si>
  <si>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</si>
  <si>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</si>
  <si>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</si>
  <si>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</si>
  <si>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</si>
  <si>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</si>
  <si>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</si>
  <si>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</si>
  <si>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</si>
  <si>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</si>
  <si>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</si>
  <si>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</si>
  <si>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</si>
  <si>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</si>
  <si>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</si>
  <si>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</si>
  <si>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</si>
  <si>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</si>
  <si>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</si>
  <si>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</si>
  <si>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</si>
  <si>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</si>
  <si>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</si>
  <si>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</si>
  <si>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</si>
  <si>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</si>
  <si>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</si>
  <si>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</si>
  <si>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</si>
  <si>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</si>
  <si>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</si>
  <si>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</si>
  <si>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</si>
  <si>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</si>
  <si>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</si>
  <si>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</si>
  <si>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</si>
  <si>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</si>
  <si>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</si>
  <si>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</si>
  <si>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</si>
  <si>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</si>
  <si>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</si>
  <si>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</si>
  <si>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</si>
  <si>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</si>
  <si>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</si>
  <si>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</si>
  <si>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</si>
  <si>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</si>
  <si>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</si>
  <si>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</si>
  <si>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</si>
  <si>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</si>
  <si>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</si>
  <si>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</si>
  <si>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</si>
  <si>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</si>
  <si>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</si>
  <si>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</si>
  <si>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</si>
  <si>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</si>
  <si>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</si>
  <si>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</si>
  <si>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</si>
  <si>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</si>
  <si>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</si>
  <si>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</si>
  <si>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</si>
  <si>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</si>
  <si>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</si>
  <si>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</si>
  <si>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</si>
  <si>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</si>
  <si>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</si>
  <si>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</si>
  <si>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</si>
  <si>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</si>
  <si>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</si>
  <si>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</si>
  <si>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</si>
  <si>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</si>
  <si>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</si>
  <si>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</si>
  <si>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</si>
  <si>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</si>
  <si>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</si>
  <si>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</si>
  <si>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</si>
  <si>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</si>
  <si>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</si>
  <si>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</si>
  <si>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</si>
  <si>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</si>
  <si>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</si>
  <si>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</si>
  <si>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</si>
  <si>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</si>
  <si>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</si>
  <si>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</si>
  <si>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</si>
  <si>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</si>
  <si>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</si>
  <si>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</si>
  <si>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</si>
  <si>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</si>
  <si>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</si>
  <si>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</si>
  <si>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</si>
  <si>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</si>
  <si>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</si>
  <si>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</si>
  <si>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</si>
  <si>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</si>
  <si>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</si>
  <si>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</si>
  <si>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</si>
  <si>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</si>
  <si>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</si>
  <si>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</si>
  <si>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</si>
  <si>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</si>
  <si>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</si>
  <si>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</si>
  <si>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</si>
  <si>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</si>
  <si>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</si>
  <si>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</si>
  <si>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</si>
  <si>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</si>
  <si>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</si>
  <si>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</si>
  <si>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</si>
  <si>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</si>
  <si>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</si>
  <si>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</si>
  <si>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</si>
  <si>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</si>
  <si>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</si>
  <si>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</si>
  <si>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</si>
  <si>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</si>
  <si>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</si>
  <si>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</si>
  <si>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</si>
  <si>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</si>
  <si>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</si>
  <si>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</si>
  <si>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</si>
  <si>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</si>
  <si>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</si>
  <si>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</si>
  <si>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</si>
  <si>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</si>
  <si>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</si>
  <si>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</si>
  <si>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</si>
  <si>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</si>
  <si>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</si>
  <si>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</si>
  <si>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</si>
  <si>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</si>
  <si>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</si>
  <si>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</si>
  <si>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</si>
  <si>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</si>
  <si>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</si>
  <si>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</si>
  <si>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</si>
  <si>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</si>
  <si>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</si>
  <si>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</si>
  <si>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</si>
  <si>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</si>
  <si>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</si>
  <si>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</si>
  <si>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</si>
  <si>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</si>
  <si>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</si>
  <si>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</si>
  <si>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</si>
  <si>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</si>
  <si>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</si>
  <si>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</si>
  <si>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</si>
  <si>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</si>
  <si>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</si>
  <si>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</si>
  <si>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</si>
  <si>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</si>
  <si>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</si>
  <si>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</si>
  <si>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</si>
  <si>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</si>
  <si>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</si>
  <si>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</si>
  <si>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</si>
  <si>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</si>
  <si>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</si>
  <si>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</si>
  <si>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</si>
  <si>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</si>
  <si>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</si>
  <si>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</si>
  <si>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</si>
  <si>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</si>
  <si>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</si>
  <si>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</si>
  <si>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</si>
  <si>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</si>
  <si>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</si>
  <si>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</si>
  <si>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</si>
  <si>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</si>
  <si>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</si>
  <si>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</si>
  <si>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</si>
  <si>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</si>
  <si>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</si>
  <si>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</si>
  <si>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</si>
  <si>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</si>
  <si>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</si>
  <si>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</si>
  <si>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</si>
  <si>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</si>
  <si>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</si>
  <si>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</si>
  <si>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</si>
  <si>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</si>
  <si>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</si>
  <si>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</si>
  <si>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</si>
  <si>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</si>
  <si>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</si>
  <si>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</si>
  <si>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</si>
  <si>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</si>
  <si>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</si>
  <si>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</si>
  <si>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</si>
  <si>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</si>
  <si>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</si>
  <si>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</si>
  <si>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</si>
  <si>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</si>
  <si>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</si>
  <si>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</si>
  <si>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</si>
  <si>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</si>
  <si>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</si>
  <si>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</si>
  <si>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</si>
  <si>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</si>
  <si>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</si>
  <si>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</si>
  <si>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</si>
  <si>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</si>
  <si>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</si>
  <si>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</si>
  <si>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</si>
  <si>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</si>
  <si>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</si>
  <si>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</si>
  <si>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</si>
  <si>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</si>
  <si>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</si>
  <si>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</si>
  <si>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</si>
  <si>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</si>
  <si>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</si>
  <si>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</si>
  <si>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</si>
  <si>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</si>
  <si>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</si>
  <si>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</si>
  <si>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</si>
  <si>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</si>
  <si>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</si>
  <si>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</si>
  <si>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</si>
  <si>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</si>
  <si>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</si>
  <si>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</si>
  <si>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</si>
  <si>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</si>
  <si>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</si>
  <si>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</si>
  <si>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</si>
  <si>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</si>
  <si>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</si>
  <si>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</si>
  <si>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</si>
  <si>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</si>
  <si>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</si>
  <si>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</si>
  <si>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</si>
  <si>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</si>
  <si>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</si>
  <si>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</si>
  <si>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</si>
  <si>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</si>
  <si>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</si>
  <si>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</si>
  <si>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</si>
  <si>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</si>
  <si>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</si>
  <si>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</si>
  <si>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</si>
  <si>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</si>
  <si>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</si>
  <si>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</si>
  <si>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</si>
  <si>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</si>
  <si>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</si>
  <si>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</si>
  <si>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</si>
  <si>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</si>
  <si>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</si>
  <si>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</si>
  <si>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</si>
  <si>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</si>
  <si>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</si>
  <si>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</si>
  <si>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</si>
  <si>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</si>
  <si>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</si>
  <si>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</si>
  <si>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</si>
  <si>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</si>
  <si>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</si>
  <si>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</si>
  <si>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</si>
  <si>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</si>
  <si>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</si>
  <si>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</si>
  <si>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</si>
  <si>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</si>
  <si>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</si>
  <si>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</si>
  <si>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</si>
  <si>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</si>
  <si>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</si>
  <si>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</si>
  <si>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</si>
  <si>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</si>
  <si>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</si>
  <si>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</si>
  <si>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</si>
  <si>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</si>
  <si>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</si>
  <si>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</si>
  <si>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</si>
  <si>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</si>
  <si>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</si>
  <si>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</si>
  <si>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</si>
  <si>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</si>
  <si>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</si>
  <si>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</si>
  <si>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</si>
  <si>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</si>
  <si>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</si>
  <si>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</si>
  <si>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</si>
  <si>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</si>
  <si>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</si>
  <si>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</si>
  <si>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</si>
  <si>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</si>
  <si>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</si>
  <si>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</si>
  <si>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</si>
  <si>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</si>
  <si>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</si>
  <si>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</si>
  <si>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</si>
  <si>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</si>
  <si>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</si>
  <si>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</si>
  <si>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</si>
  <si>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</si>
  <si>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</si>
  <si>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</si>
  <si>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</si>
  <si>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</si>
  <si>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</si>
  <si>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</si>
  <si>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</si>
  <si>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</si>
  <si>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</si>
  <si>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</si>
  <si>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</si>
  <si>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</si>
  <si>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</si>
  <si>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</si>
  <si>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</si>
  <si>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</si>
  <si>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</si>
  <si>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</si>
  <si>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</si>
  <si>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</si>
  <si>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</si>
  <si>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</si>
  <si>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</si>
  <si>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</si>
  <si>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</si>
  <si>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</si>
  <si>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</si>
  <si>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</si>
  <si>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</si>
  <si>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</si>
  <si>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</si>
  <si>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</si>
  <si>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</si>
  <si>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</si>
  <si>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</si>
  <si>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</si>
  <si>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</si>
  <si>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</si>
  <si>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</si>
  <si>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</si>
  <si>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</si>
  <si>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</si>
  <si>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</si>
  <si>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</si>
  <si>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</si>
  <si>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</si>
  <si>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</si>
  <si>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</si>
  <si>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</si>
  <si>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</si>
  <si>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</si>
  <si>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</si>
  <si>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</si>
  <si>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</si>
  <si>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</si>
  <si>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</si>
  <si>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</si>
  <si>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</si>
  <si>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</si>
  <si>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</si>
  <si>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</si>
  <si>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</si>
  <si>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</si>
  <si>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</si>
  <si>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</si>
  <si>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</si>
  <si>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</si>
  <si>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</si>
  <si>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</si>
  <si>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</si>
  <si>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</si>
  <si>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</si>
  <si>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</si>
  <si>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</si>
  <si>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</si>
  <si>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</si>
  <si>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</si>
  <si>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</si>
  <si>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</si>
  <si>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</si>
  <si>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</si>
  <si>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</si>
  <si>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</si>
  <si>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</si>
  <si>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</si>
  <si>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</si>
  <si>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</si>
  <si>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</si>
  <si>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</si>
  <si>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</si>
  <si>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</si>
  <si>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</si>
  <si>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</si>
  <si>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</si>
  <si>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</si>
  <si>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</si>
  <si>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</si>
  <si>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</si>
  <si>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</si>
  <si>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</si>
  <si>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</si>
  <si>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</si>
  <si>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</si>
  <si>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</si>
  <si>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</si>
  <si>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</si>
  <si>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</si>
  <si>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</si>
  <si>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</si>
  <si>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</si>
  <si>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</si>
  <si>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</si>
  <si>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</si>
  <si>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</si>
  <si>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</si>
  <si>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</si>
  <si>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</si>
  <si>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</si>
  <si>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</si>
  <si>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</si>
  <si>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</si>
  <si>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</si>
  <si>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</si>
  <si>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</si>
  <si>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</si>
  <si>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</si>
  <si>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</si>
  <si>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</si>
  <si>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</si>
  <si>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</si>
  <si>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</si>
  <si>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</si>
  <si>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</si>
  <si>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</si>
  <si>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</si>
  <si>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</si>
  <si>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</si>
  <si>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</si>
  <si>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</si>
  <si>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</si>
  <si>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</si>
  <si>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</si>
  <si>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</si>
  <si>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</si>
  <si>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</si>
  <si>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</si>
  <si>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</si>
  <si>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</si>
  <si>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</si>
  <si>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</si>
  <si>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</si>
  <si>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</si>
  <si>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</si>
  <si>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</si>
  <si>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</si>
  <si>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</si>
  <si>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</si>
  <si>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</si>
  <si>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</si>
  <si>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</si>
  <si>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</si>
  <si>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</si>
  <si>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</si>
  <si>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</si>
  <si>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</si>
  <si>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</si>
  <si>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</si>
  <si>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</si>
  <si>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</si>
  <si>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</si>
  <si>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</si>
  <si>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</si>
  <si>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</si>
  <si>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</si>
  <si>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</si>
  <si>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</si>
  <si>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</si>
  <si>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</si>
  <si>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</si>
  <si>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</si>
  <si>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</si>
  <si>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</si>
  <si>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</si>
  <si>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</si>
  <si>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</si>
  <si>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</si>
  <si>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</si>
  <si>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</si>
  <si>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</si>
  <si>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</si>
  <si>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</si>
  <si>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</si>
  <si>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</si>
  <si>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</si>
  <si>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</si>
  <si>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</si>
  <si>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</si>
  <si>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</si>
  <si>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</si>
  <si>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</si>
  <si>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</si>
  <si>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</si>
  <si>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</si>
  <si>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</si>
  <si>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</si>
  <si>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</si>
  <si>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</si>
  <si>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</si>
  <si>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</si>
  <si>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</si>
  <si>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</si>
  <si>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</si>
  <si>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</si>
  <si>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</si>
  <si>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</si>
  <si>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</si>
  <si>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</si>
  <si>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</si>
  <si>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</si>
  <si>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</si>
  <si>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</si>
  <si>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</si>
  <si>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</si>
  <si>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</si>
  <si>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</si>
  <si>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</si>
  <si>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</si>
  <si>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</si>
  <si>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</si>
  <si>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</si>
  <si>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</si>
  <si>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</si>
  <si>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</si>
  <si>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</si>
  <si>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</si>
  <si>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</si>
  <si>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</si>
  <si>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</si>
  <si>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</si>
  <si>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</si>
  <si>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</si>
  <si>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</si>
  <si>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</si>
  <si>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</si>
  <si>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</si>
  <si>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</si>
  <si>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</si>
  <si>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</si>
  <si>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</si>
  <si>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</si>
  <si>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</si>
  <si>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</si>
  <si>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</si>
  <si>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</si>
  <si>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</si>
  <si>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</si>
  <si>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</si>
  <si>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</si>
  <si>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</si>
  <si>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</si>
  <si>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</si>
  <si>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</si>
  <si>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</si>
  <si>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</si>
  <si>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</si>
  <si>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</si>
  <si>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</si>
  <si>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</si>
  <si>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</si>
  <si>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</si>
  <si>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</si>
  <si>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</si>
  <si>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</si>
  <si>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</si>
  <si>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</si>
  <si>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</si>
  <si>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</si>
  <si>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</si>
  <si>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</si>
  <si>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</si>
  <si>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</si>
  <si>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</si>
  <si>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</si>
  <si>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</si>
  <si>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</si>
  <si>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</si>
  <si>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</si>
  <si>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</si>
  <si>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</si>
  <si>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</si>
  <si>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</si>
  <si>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</si>
  <si>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</si>
  <si>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</si>
  <si>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</si>
  <si>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</si>
  <si>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</si>
  <si>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</si>
  <si>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</si>
  <si>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</si>
  <si>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</si>
  <si>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</si>
  <si>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</si>
  <si>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</si>
  <si>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</si>
  <si>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</si>
  <si>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</si>
  <si>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</si>
  <si>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</si>
  <si>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</si>
  <si>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</si>
  <si>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</si>
  <si>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</si>
  <si>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</si>
  <si>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</si>
  <si>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</si>
  <si>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</si>
  <si>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</si>
  <si>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</si>
  <si>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</si>
  <si>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</si>
  <si>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</si>
  <si>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</si>
  <si>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</si>
  <si>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</si>
  <si>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</si>
  <si>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</si>
  <si>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</si>
  <si>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</si>
  <si>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</si>
  <si>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</si>
  <si>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</si>
  <si>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</si>
  <si>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</si>
  <si>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</si>
  <si>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</si>
  <si>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</si>
  <si>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</si>
  <si>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</si>
  <si>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</si>
  <si>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</si>
  <si>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</si>
  <si>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</si>
  <si>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</si>
  <si>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</si>
  <si>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</si>
  <si>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</si>
  <si>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</si>
  <si>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</si>
  <si>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</si>
  <si>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</si>
  <si>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</si>
  <si>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</si>
  <si>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</si>
  <si>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</si>
  <si>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</si>
  <si>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</si>
  <si>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</si>
  <si>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</si>
  <si>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</si>
  <si>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</si>
  <si>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</si>
  <si>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</si>
  <si>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</si>
  <si>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</si>
  <si>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</si>
  <si>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</si>
  <si>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</si>
  <si>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</si>
  <si>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</si>
  <si>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</si>
  <si>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</si>
  <si>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</si>
  <si>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</si>
  <si>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</si>
  <si>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</si>
  <si>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</si>
  <si>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</si>
  <si>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</si>
  <si>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</si>
  <si>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</si>
  <si>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</si>
  <si>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</si>
  <si>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</si>
  <si>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</si>
  <si>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</si>
  <si>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</si>
  <si>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</si>
  <si>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</si>
  <si>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</si>
  <si>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</si>
  <si>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</si>
  <si>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</si>
  <si>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</si>
  <si>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</si>
  <si>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</si>
  <si>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</si>
  <si>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</si>
  <si>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</si>
  <si>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</si>
  <si>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</si>
  <si>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</si>
  <si>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</si>
  <si>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</si>
  <si>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</si>
  <si>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</si>
  <si>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</si>
  <si>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</si>
  <si>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</si>
  <si>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</si>
  <si>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</si>
  <si>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</si>
  <si>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</si>
  <si>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</si>
  <si>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</si>
  <si>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</si>
  <si>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</si>
  <si>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</si>
  <si>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</si>
  <si>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</si>
  <si>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</si>
  <si>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</si>
  <si>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</si>
  <si>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</si>
  <si>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</si>
  <si>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</si>
  <si>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</si>
  <si>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</si>
  <si>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</si>
  <si>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</si>
  <si>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</si>
  <si>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</si>
  <si>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</si>
  <si>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</si>
  <si>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</si>
  <si>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</si>
  <si>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</si>
  <si>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</si>
  <si>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</si>
  <si>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</si>
  <si>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</si>
  <si>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</si>
  <si>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</si>
  <si>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</si>
  <si>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</si>
  <si>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</si>
  <si>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</si>
  <si>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</si>
  <si>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</si>
  <si>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</si>
  <si>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</si>
  <si>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</si>
  <si>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</si>
  <si>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</si>
  <si>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</si>
  <si>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</si>
  <si>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</si>
  <si>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</si>
  <si>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</si>
  <si>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</si>
  <si>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</si>
  <si>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</si>
  <si>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</si>
  <si>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</si>
  <si>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</si>
  <si>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</si>
  <si>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</si>
  <si>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</si>
  <si>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</si>
  <si>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</si>
  <si>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</si>
  <si>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</si>
  <si>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</si>
  <si>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</si>
  <si>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</si>
  <si>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</si>
  <si>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</si>
  <si>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</si>
  <si>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</si>
  <si>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</si>
  <si>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</si>
  <si>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</si>
  <si>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</si>
  <si>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</si>
  <si>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</si>
  <si>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</si>
  <si>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</si>
  <si>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</si>
  <si>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</si>
  <si>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</si>
  <si>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</si>
  <si>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</si>
  <si>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</si>
  <si>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</si>
  <si>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</si>
  <si>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</si>
  <si>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</si>
  <si>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</si>
  <si>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</si>
  <si>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</si>
  <si>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</si>
  <si>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</si>
  <si>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</si>
  <si>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</si>
  <si>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</si>
  <si>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</si>
  <si>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</si>
  <si>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</si>
  <si>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</si>
  <si>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</si>
  <si>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</si>
  <si>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</si>
  <si>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</si>
  <si>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</si>
  <si>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</si>
  <si>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</si>
  <si>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</si>
  <si>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</si>
  <si>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</si>
  <si>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</si>
  <si>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</si>
  <si>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</si>
  <si>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</si>
  <si>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</si>
  <si>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</si>
  <si>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</si>
  <si>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</si>
  <si>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</si>
  <si>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</si>
  <si>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</si>
  <si>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</si>
  <si>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</si>
  <si>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</si>
  <si>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</si>
  <si>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</si>
  <si>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</si>
  <si>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</si>
  <si>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</si>
  <si>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</si>
  <si>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</si>
  <si>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</si>
  <si>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</si>
  <si>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</si>
  <si>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</si>
  <si>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</si>
  <si>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</si>
  <si>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</si>
  <si>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</si>
  <si>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</si>
  <si>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</si>
  <si>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</si>
  <si>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</si>
  <si>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</si>
  <si>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</si>
  <si>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</si>
  <si>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</si>
  <si>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</si>
  <si>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</si>
  <si>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</si>
  <si>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</si>
  <si>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</si>
  <si>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</si>
  <si>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</si>
  <si>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</si>
  <si>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</si>
  <si>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</si>
  <si>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</si>
  <si>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</si>
  <si>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</si>
  <si>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</si>
  <si>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</si>
  <si>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</si>
  <si>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</si>
  <si>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</si>
  <si>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</si>
  <si>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</si>
  <si>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</si>
  <si>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</si>
  <si>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</si>
  <si>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</si>
  <si>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</si>
  <si>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</si>
  <si>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</si>
  <si>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</si>
  <si>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</si>
  <si>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</si>
  <si>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</si>
  <si>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</si>
  <si>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</si>
  <si>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</si>
  <si>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</si>
  <si>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</si>
  <si>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</si>
  <si>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</si>
  <si>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</si>
  <si>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</si>
  <si>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</si>
  <si>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</si>
  <si>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</si>
  <si>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</si>
  <si>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</si>
  <si>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</si>
  <si>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</si>
  <si>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</si>
  <si>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</si>
  <si>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</si>
  <si>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</si>
  <si>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</si>
  <si>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</si>
  <si>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</si>
  <si>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</si>
  <si>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</si>
  <si>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</si>
  <si>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</si>
  <si>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</si>
  <si>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</si>
  <si>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</si>
  <si>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</si>
  <si>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</si>
  <si>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</si>
  <si>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</si>
  <si>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</si>
  <si>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</si>
  <si>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</si>
  <si>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</si>
  <si>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</si>
  <si>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</si>
  <si>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</si>
  <si>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</si>
  <si>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</si>
  <si>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</si>
  <si>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</si>
  <si>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</si>
  <si>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</si>
  <si>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</si>
  <si>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</si>
  <si>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</si>
  <si>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</si>
  <si>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</si>
  <si>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</si>
  <si>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</si>
  <si>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</si>
  <si>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</si>
  <si>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</si>
  <si>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</si>
  <si>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</si>
  <si>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</si>
  <si>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</si>
  <si>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</si>
  <si>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</si>
  <si>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</si>
  <si>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</si>
  <si>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</si>
  <si>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</si>
  <si>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</si>
  <si>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</si>
  <si>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</si>
  <si>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</si>
  <si>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</si>
  <si>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</si>
  <si>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</si>
  <si>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</si>
  <si>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</si>
  <si>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</si>
  <si>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</si>
  <si>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</si>
  <si>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</si>
  <si>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</si>
  <si>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</si>
  <si>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</si>
  <si>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</si>
  <si>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</si>
  <si>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</si>
  <si>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</si>
  <si>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</si>
  <si>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</si>
  <si>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</si>
  <si>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</si>
  <si>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</si>
  <si>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</si>
  <si>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</si>
  <si>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</si>
  <si>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</si>
  <si>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</si>
  <si>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</si>
  <si>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</si>
  <si>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</si>
  <si>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</si>
  <si>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</si>
  <si>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</si>
  <si>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</si>
  <si>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</si>
  <si>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</si>
  <si>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</si>
  <si>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</si>
  <si>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</si>
  <si>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</si>
  <si>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</si>
  <si>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</si>
  <si>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</si>
  <si>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</si>
  <si>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</si>
  <si>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</si>
  <si>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</si>
  <si>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</si>
  <si>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</si>
  <si>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</si>
  <si>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</si>
  <si>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</si>
  <si>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</si>
  <si>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</si>
  <si>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</si>
  <si>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</si>
  <si>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</si>
  <si>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</si>
  <si>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</si>
  <si>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</si>
  <si>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</si>
  <si>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</si>
  <si>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</si>
  <si>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</si>
  <si>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</si>
  <si>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</si>
  <si>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</si>
  <si>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</si>
  <si>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</si>
  <si>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</si>
  <si>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</si>
  <si>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</si>
  <si>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</si>
  <si>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</si>
  <si>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</si>
  <si>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</si>
  <si>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</si>
  <si>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</si>
  <si>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</si>
  <si>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</si>
  <si>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</si>
  <si>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</si>
  <si>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</si>
  <si>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</si>
  <si>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</si>
  <si>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</si>
  <si>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</si>
  <si>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</si>
  <si>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</si>
  <si>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</si>
  <si>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</si>
  <si>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</si>
  <si>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</si>
  <si>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</si>
  <si>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</si>
  <si>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</si>
  <si>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</si>
  <si>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</si>
  <si>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</si>
  <si>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</si>
  <si>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</si>
  <si>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</si>
  <si>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</si>
  <si>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</si>
  <si>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</si>
  <si>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</si>
  <si>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</si>
  <si>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</si>
  <si>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</si>
  <si>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</si>
  <si>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</si>
  <si>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</si>
  <si>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</si>
  <si>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</si>
  <si>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</si>
  <si>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</si>
  <si>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</si>
  <si>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</si>
  <si>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</si>
  <si>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</si>
  <si>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</si>
  <si>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</si>
  <si>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</si>
  <si>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</si>
  <si>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</si>
  <si>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</si>
  <si>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</si>
  <si>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</si>
  <si>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</si>
  <si>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</si>
  <si>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</si>
  <si>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</si>
  <si>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</si>
  <si>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</si>
  <si>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</si>
  <si>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</si>
  <si>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</si>
  <si>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</si>
  <si>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</si>
  <si>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</si>
  <si>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</si>
  <si>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</si>
  <si>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</si>
  <si>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</si>
  <si>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</si>
  <si>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</si>
  <si>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</si>
  <si>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</si>
  <si>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</si>
  <si>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</si>
  <si>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</si>
  <si>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</si>
  <si>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</si>
  <si>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</si>
  <si>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</si>
  <si>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</si>
  <si>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</si>
  <si>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</si>
  <si>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</si>
  <si>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</si>
  <si>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</si>
  <si>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</si>
  <si>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</si>
  <si>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</si>
  <si>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</si>
  <si>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</si>
  <si>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</si>
  <si>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</si>
  <si>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</si>
  <si>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</si>
  <si>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</si>
  <si>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</si>
  <si>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</si>
  <si>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</si>
  <si>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</si>
  <si>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</si>
  <si>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</si>
  <si>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</si>
  <si>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</si>
  <si>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</si>
  <si>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</si>
  <si>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</si>
  <si>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</si>
  <si>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</si>
  <si>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</si>
  <si>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</si>
  <si>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</si>
  <si>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</si>
  <si>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</si>
  <si>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</si>
  <si>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</si>
  <si>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</si>
  <si>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</si>
  <si>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</si>
  <si>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</si>
  <si>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</si>
  <si>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</si>
  <si>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</si>
  <si>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</si>
  <si>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</si>
  <si>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</si>
  <si>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</si>
  <si>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</si>
  <si>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</si>
  <si>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</si>
  <si>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</si>
  <si>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</si>
  <si>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</si>
  <si>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</si>
  <si>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</si>
  <si>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</si>
  <si>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</si>
  <si>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</si>
  <si>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</si>
  <si>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</si>
  <si>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</si>
  <si>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</si>
  <si>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</si>
  <si>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</si>
  <si>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</si>
  <si>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</si>
  <si>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</si>
  <si>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</si>
  <si>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</si>
  <si>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</si>
  <si>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</si>
  <si>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</si>
  <si>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</si>
  <si>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</si>
  <si>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</si>
  <si>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</si>
  <si>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</si>
  <si>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</si>
  <si>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</si>
  <si>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</si>
  <si>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</si>
  <si>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</si>
  <si>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</si>
  <si>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</si>
  <si>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</si>
  <si>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</si>
  <si>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</si>
  <si>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</si>
  <si>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</si>
  <si>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</si>
  <si>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</si>
  <si>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</si>
  <si>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</si>
  <si>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</si>
  <si>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</si>
  <si>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</si>
  <si>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</si>
  <si>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</si>
  <si>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</si>
  <si>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</si>
  <si>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</si>
  <si>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</si>
  <si>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</si>
  <si>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</si>
  <si>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</si>
  <si>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</si>
  <si>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</si>
  <si>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</si>
  <si>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</si>
  <si>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</si>
  <si>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</si>
  <si>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</si>
  <si>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</si>
  <si>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</si>
  <si>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</si>
  <si>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</si>
  <si>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</si>
  <si>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</si>
  <si>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</si>
  <si>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</si>
  <si>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</si>
  <si>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</si>
  <si>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</si>
  <si>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</si>
  <si>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</si>
  <si>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</si>
  <si>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</si>
  <si>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</si>
  <si>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</si>
  <si>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</si>
  <si>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</si>
  <si>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</si>
  <si>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</si>
  <si>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</si>
  <si>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</si>
  <si>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</si>
  <si>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</si>
  <si>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</si>
  <si>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</si>
  <si>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</si>
  <si>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</si>
  <si>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</si>
  <si>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</si>
  <si>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</si>
  <si>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</si>
  <si>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</si>
  <si>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</si>
  <si>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</si>
  <si>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</si>
  <si>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</si>
  <si>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</si>
  <si>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</si>
  <si>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</si>
  <si>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</si>
  <si>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</si>
  <si>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</si>
  <si>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</si>
  <si>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</si>
  <si>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</si>
  <si>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</si>
  <si>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</si>
  <si>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</si>
  <si>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</si>
  <si>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</si>
  <si>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</si>
  <si>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</si>
  <si>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</si>
  <si>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</si>
  <si>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</si>
  <si>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</si>
  <si>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</si>
  <si>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</si>
  <si>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</si>
  <si>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</si>
  <si>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</si>
  <si>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</si>
  <si>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</si>
  <si>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</si>
  <si>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</si>
  <si>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</si>
  <si>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</si>
  <si>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</si>
  <si>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</si>
  <si>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</si>
  <si>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</si>
  <si>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</si>
  <si>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</si>
  <si>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</si>
  <si>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</si>
  <si>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</si>
  <si>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</si>
  <si>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</si>
  <si>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</si>
  <si>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</si>
  <si>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</si>
  <si>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</si>
  <si>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</si>
  <si>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</si>
  <si>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</si>
  <si>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</si>
  <si>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</si>
  <si>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</si>
  <si>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</si>
  <si>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</si>
  <si>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</si>
  <si>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</si>
  <si>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</si>
  <si>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</si>
  <si>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</si>
  <si>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</si>
  <si>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</si>
  <si>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</si>
  <si>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</si>
  <si>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</si>
  <si>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</si>
  <si>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</si>
  <si>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</si>
  <si>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</si>
  <si>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</si>
  <si>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</si>
  <si>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</si>
  <si>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</si>
  <si>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</si>
  <si>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</si>
  <si>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</si>
  <si>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</si>
  <si>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</si>
  <si>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</si>
  <si>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</si>
  <si>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</si>
  <si>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</si>
  <si>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</si>
  <si>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</si>
  <si>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</si>
  <si>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</si>
  <si>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</si>
  <si>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</si>
  <si>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</si>
  <si>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</si>
  <si>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</si>
  <si>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</si>
  <si>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</si>
  <si>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</si>
  <si>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</si>
  <si>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</si>
  <si>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</si>
  <si>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</si>
  <si>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</si>
  <si>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</si>
  <si>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</si>
  <si>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</si>
  <si>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</si>
  <si>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</si>
  <si>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</si>
  <si>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</si>
  <si>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</si>
  <si>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</si>
  <si>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</si>
  <si>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</si>
  <si>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</si>
  <si>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</si>
  <si>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</si>
  <si>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</si>
  <si>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</si>
  <si>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</si>
  <si>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</si>
  <si>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</si>
  <si>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</si>
  <si>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</si>
  <si>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</si>
  <si>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</si>
  <si>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</si>
  <si>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</si>
  <si>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</si>
  <si>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</si>
  <si>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</si>
  <si>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</si>
  <si>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</si>
  <si>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</si>
  <si>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</si>
  <si>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</si>
  <si>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</si>
  <si>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</si>
  <si>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</si>
  <si>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</si>
  <si>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</si>
  <si>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</si>
  <si>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</si>
  <si>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</si>
  <si>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</si>
  <si>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</si>
  <si>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</si>
  <si>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</si>
  <si>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</si>
  <si>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</si>
  <si>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</si>
  <si>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</si>
  <si>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</si>
  <si>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</si>
  <si>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</si>
  <si>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</si>
  <si>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</si>
  <si>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</si>
  <si>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</si>
  <si>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</si>
  <si>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</si>
  <si>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</si>
  <si>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</si>
  <si>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</si>
  <si>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</si>
  <si>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</si>
  <si>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</si>
  <si>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</si>
  <si>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</si>
  <si>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</si>
  <si>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</si>
  <si>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</si>
  <si>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</si>
  <si>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</si>
  <si>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</si>
  <si>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</si>
  <si>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</si>
  <si>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</si>
  <si>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</si>
  <si>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</si>
  <si>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</si>
  <si>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</si>
  <si>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</si>
  <si>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</si>
  <si>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</si>
  <si>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</si>
  <si>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</si>
  <si>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</si>
  <si>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</si>
  <si>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</si>
  <si>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</si>
  <si>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</si>
  <si>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</si>
  <si>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</si>
  <si>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</si>
  <si>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</si>
  <si>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</si>
  <si>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</si>
  <si>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</si>
  <si>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</si>
  <si>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</si>
  <si>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</si>
  <si>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</si>
  <si>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</si>
  <si>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</si>
  <si>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</si>
  <si>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</si>
  <si>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</si>
  <si>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</si>
  <si>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</si>
  <si>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</si>
  <si>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</si>
  <si>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</si>
  <si>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</si>
  <si>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</si>
  <si>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</si>
  <si>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</si>
  <si>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</si>
  <si>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</si>
  <si>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</si>
  <si>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</si>
  <si>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</si>
  <si>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</si>
  <si>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</si>
  <si>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</si>
  <si>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</si>
  <si>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</si>
  <si>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</si>
  <si>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</si>
  <si>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</si>
  <si>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</si>
  <si>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</si>
  <si>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</si>
  <si>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</si>
  <si>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</si>
  <si>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</si>
  <si>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</si>
  <si>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</si>
  <si>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</si>
  <si>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</si>
  <si>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</si>
  <si>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</si>
  <si>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</si>
  <si>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</si>
  <si>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</si>
  <si>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</si>
  <si>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</si>
  <si>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</si>
  <si>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</si>
  <si>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</si>
  <si>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</si>
  <si>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</si>
  <si>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</si>
  <si>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</si>
  <si>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</si>
  <si>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</si>
  <si>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</si>
  <si>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</si>
  <si>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</si>
  <si>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</si>
  <si>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</si>
  <si>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</si>
  <si>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</si>
  <si>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</si>
  <si>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</si>
  <si>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</si>
  <si>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</si>
  <si>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</si>
  <si>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</si>
  <si>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</si>
  <si>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</si>
  <si>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</si>
  <si>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</si>
  <si>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</si>
  <si>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</si>
  <si>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</si>
  <si>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</si>
  <si>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</si>
  <si>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</si>
  <si>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</si>
  <si>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</si>
  <si>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</si>
  <si>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</si>
  <si>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</si>
  <si>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</si>
  <si>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</si>
  <si>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</si>
  <si>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</si>
  <si>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</si>
  <si>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</si>
  <si>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</si>
  <si>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</si>
  <si>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</si>
  <si>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</si>
  <si>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</si>
  <si>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</si>
  <si>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</si>
  <si>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</si>
  <si>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</si>
  <si>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</si>
  <si>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</si>
  <si>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</si>
  <si>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</si>
  <si>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</si>
  <si>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</si>
  <si>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</si>
  <si>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</si>
  <si>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</si>
  <si>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</si>
  <si>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</si>
  <si>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</si>
  <si>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</si>
  <si>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</si>
  <si>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</si>
  <si>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</si>
  <si>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</si>
  <si>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</si>
  <si>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</si>
  <si>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</si>
  <si>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</si>
  <si>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</si>
  <si>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</si>
  <si>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</si>
  <si>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</si>
  <si>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</si>
  <si>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</si>
  <si>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</si>
  <si>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</si>
  <si>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</si>
  <si>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</si>
  <si>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</si>
  <si>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</si>
  <si>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</si>
  <si>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</si>
  <si>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</si>
  <si>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</si>
  <si>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</si>
  <si>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</si>
  <si>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</si>
  <si>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</si>
  <si>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</si>
  <si>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</si>
  <si>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</si>
  <si>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</si>
  <si>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</si>
  <si>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</si>
  <si>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</si>
  <si>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</si>
  <si>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</si>
  <si>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</si>
  <si>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</si>
  <si>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</si>
  <si>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</si>
  <si>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</si>
  <si>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</si>
  <si>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</si>
  <si>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</si>
  <si>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</si>
  <si>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</si>
  <si>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</si>
  <si>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</si>
  <si>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</si>
  <si>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</si>
  <si>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</si>
  <si>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</si>
  <si>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</si>
  <si>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</si>
  <si>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</si>
  <si>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</si>
  <si>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</si>
  <si>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</si>
  <si>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</si>
  <si>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</si>
  <si>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</si>
  <si>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</si>
  <si>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</si>
  <si>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</si>
  <si>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</si>
  <si>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</si>
  <si>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</si>
  <si>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</si>
  <si>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</si>
  <si>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</si>
  <si>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</si>
  <si>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</si>
  <si>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</si>
  <si>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</si>
  <si>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</si>
  <si>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</si>
  <si>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</si>
  <si>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</si>
  <si>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</si>
  <si>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</si>
  <si>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</si>
  <si>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</si>
  <si>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</si>
  <si>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</si>
  <si>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</si>
  <si>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</si>
  <si>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</si>
  <si>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</si>
  <si>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</si>
  <si>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</si>
  <si>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</si>
  <si>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</si>
  <si>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</si>
  <si>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</si>
  <si>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</si>
  <si>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</si>
  <si>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</si>
  <si>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</si>
  <si>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</si>
  <si>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</si>
  <si>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</si>
  <si>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</si>
  <si>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</si>
  <si>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</si>
  <si>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</si>
  <si>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</si>
  <si>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</si>
  <si>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</si>
  <si>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</si>
  <si>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</si>
  <si>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</si>
  <si>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</si>
  <si>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</si>
  <si>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</si>
  <si>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</si>
  <si>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</si>
  <si>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</si>
  <si>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</si>
  <si>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</si>
  <si>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</si>
  <si>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</si>
  <si>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</si>
  <si>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</si>
  <si>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</si>
  <si>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</si>
  <si>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</si>
  <si>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</si>
  <si>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</si>
  <si>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</si>
  <si>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</si>
  <si>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</si>
  <si>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</si>
  <si>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</si>
  <si>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</si>
  <si>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</si>
  <si>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</si>
  <si>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</si>
  <si>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</si>
  <si>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</si>
  <si>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</si>
  <si>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</si>
  <si>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</si>
  <si>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</si>
  <si>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</si>
  <si>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</si>
  <si>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</si>
  <si>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</si>
  <si>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</si>
  <si>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</si>
  <si>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</si>
  <si>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</si>
  <si>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</si>
  <si>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</si>
  <si>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</si>
  <si>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</si>
  <si>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</si>
  <si>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</si>
  <si>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</si>
  <si>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</si>
  <si>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</si>
  <si>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</si>
  <si>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</si>
  <si>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</si>
  <si>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</si>
  <si>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</si>
  <si>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</si>
  <si>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</si>
  <si>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</si>
  <si>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</si>
  <si>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</si>
  <si>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</si>
  <si>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</si>
  <si>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</si>
  <si>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</si>
  <si>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</si>
  <si>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</si>
  <si>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</si>
  <si>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</si>
  <si>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</si>
  <si>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</si>
  <si>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</si>
  <si>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</si>
  <si>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</si>
  <si>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</si>
  <si>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</si>
  <si>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</si>
  <si>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</si>
  <si>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</si>
  <si>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</si>
  <si>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</si>
  <si>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</si>
  <si>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</si>
  <si>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</si>
  <si>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</si>
  <si>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</si>
  <si>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</si>
  <si>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</si>
  <si>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</si>
  <si>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</si>
  <si>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</si>
  <si>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</si>
  <si>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</si>
  <si>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</si>
  <si>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</si>
  <si>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</si>
  <si>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</si>
  <si>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</si>
  <si>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</si>
  <si>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</si>
  <si>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</si>
  <si>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</si>
  <si>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</si>
  <si>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</si>
  <si>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</si>
  <si>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</si>
  <si>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</si>
  <si>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</si>
  <si>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</si>
  <si>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</si>
  <si>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</si>
  <si>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</si>
  <si>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</si>
  <si>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</si>
  <si>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</si>
  <si>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</si>
  <si>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</si>
  <si>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</si>
  <si>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</si>
  <si>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</si>
  <si>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</si>
  <si>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</si>
  <si>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</si>
  <si>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</si>
  <si>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</si>
  <si>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</si>
  <si>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</si>
  <si>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</si>
  <si>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</si>
  <si>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</si>
  <si>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</si>
  <si>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</si>
  <si>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</si>
  <si>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</si>
  <si>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</si>
  <si>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</si>
  <si>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</si>
  <si>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</si>
  <si>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</si>
  <si>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</si>
  <si>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</si>
  <si>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</si>
  <si>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</si>
  <si>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</si>
  <si>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</si>
  <si>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</si>
  <si>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</si>
  <si>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</si>
  <si>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</si>
  <si>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</si>
  <si>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</si>
  <si>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</si>
  <si>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</si>
  <si>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</si>
  <si>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</si>
  <si>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</si>
  <si>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</si>
  <si>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</si>
  <si>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</si>
  <si>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</si>
  <si>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</si>
  <si>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</si>
  <si>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</si>
  <si>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</si>
  <si>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</si>
  <si>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</si>
  <si>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</si>
  <si>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</si>
  <si>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</si>
  <si>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</si>
  <si>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</si>
  <si>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</si>
  <si>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</si>
  <si>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</si>
  <si>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</si>
  <si>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</si>
  <si>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</si>
  <si>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</si>
  <si>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</si>
  <si>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</si>
  <si>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</si>
  <si>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</si>
  <si>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</si>
  <si>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</si>
  <si>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</si>
  <si>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</si>
  <si>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</si>
  <si>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</si>
  <si>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</si>
  <si>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</si>
  <si>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</si>
  <si>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</si>
  <si>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</si>
  <si>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</si>
  <si>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</si>
  <si>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</si>
  <si>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</si>
  <si>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</si>
  <si>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</si>
  <si>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</si>
  <si>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</si>
  <si>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</si>
  <si>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</si>
  <si>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</si>
  <si>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</si>
  <si>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</si>
  <si>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</si>
  <si>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</si>
  <si>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</si>
  <si>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</si>
  <si>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</si>
  <si>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</si>
  <si>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</si>
  <si>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</si>
  <si>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</si>
  <si>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</si>
  <si>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</si>
  <si>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</si>
  <si>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</si>
  <si>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</si>
  <si>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</si>
  <si>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</si>
  <si>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</si>
  <si>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</si>
  <si>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</si>
  <si>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</si>
  <si>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</si>
  <si>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</si>
  <si>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</si>
  <si>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</si>
  <si>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</si>
  <si>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</si>
  <si>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</si>
  <si>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</si>
  <si>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</si>
  <si>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</si>
  <si>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</si>
  <si>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</si>
  <si>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</si>
  <si>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</si>
  <si>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</si>
  <si>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</si>
  <si>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</si>
  <si>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</si>
  <si>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</si>
  <si>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</si>
  <si>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</si>
  <si>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</si>
  <si>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</si>
  <si>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</si>
  <si>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</si>
  <si>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</si>
  <si>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</si>
  <si>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</si>
  <si>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</si>
  <si>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</si>
  <si>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</si>
  <si>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</si>
  <si>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</si>
  <si>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</si>
  <si>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</si>
  <si>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</si>
  <si>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</si>
  <si>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</si>
  <si>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</si>
  <si>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</si>
  <si>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</si>
  <si>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</si>
  <si>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</si>
  <si>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</si>
  <si>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</si>
  <si>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</si>
  <si>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</si>
  <si>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</si>
  <si>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</si>
  <si>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</si>
  <si>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</si>
  <si>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</si>
  <si>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</si>
  <si>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</si>
  <si>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</si>
  <si>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</si>
  <si>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</si>
  <si>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</si>
  <si>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</si>
  <si>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</si>
  <si>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</si>
  <si>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</si>
  <si>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</si>
  <si>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</si>
  <si>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</si>
  <si>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</si>
  <si>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</si>
  <si>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</si>
  <si>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</si>
  <si>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</si>
  <si>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</si>
  <si>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</si>
  <si>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</si>
  <si>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</si>
  <si>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</si>
  <si>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</si>
  <si>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</si>
  <si>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</si>
  <si>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</si>
  <si>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</si>
  <si>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</si>
  <si>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</si>
  <si>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</si>
  <si>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</si>
  <si>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</si>
  <si>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</si>
  <si>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</si>
  <si>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</si>
  <si>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</si>
  <si>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</si>
  <si>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</si>
  <si>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</si>
  <si>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</si>
  <si>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</si>
  <si>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</si>
  <si>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</si>
  <si>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</si>
  <si>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</si>
  <si>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</si>
  <si>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</si>
  <si>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</si>
  <si>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</si>
  <si>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</si>
  <si>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</si>
  <si>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</si>
  <si>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</si>
  <si>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</si>
  <si>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</si>
  <si>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</si>
  <si>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</si>
  <si>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</si>
  <si>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</si>
  <si>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</si>
  <si>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</si>
  <si>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</si>
  <si>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</si>
  <si>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</si>
  <si>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</si>
  <si>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</si>
  <si>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</si>
  <si>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</si>
  <si>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</si>
  <si>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</si>
  <si>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</si>
  <si>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</si>
  <si>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</si>
  <si>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</si>
  <si>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</si>
  <si>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</si>
  <si>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</si>
  <si>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</si>
  <si>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</si>
  <si>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</si>
  <si>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</si>
  <si>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</si>
  <si>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</si>
  <si>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</si>
  <si>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</si>
  <si>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</si>
  <si>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</si>
  <si>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</si>
  <si>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</si>
  <si>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</si>
  <si>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</si>
  <si>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</si>
  <si>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</si>
  <si>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</si>
  <si>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</si>
  <si>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</si>
  <si>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</si>
  <si>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</si>
  <si>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</si>
  <si>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</si>
  <si>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</si>
  <si>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</si>
  <si>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</si>
  <si>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</si>
  <si>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</si>
  <si>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</si>
  <si>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</si>
  <si>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</si>
  <si>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</si>
  <si>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</si>
  <si>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</si>
  <si>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</si>
  <si>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</si>
  <si>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</si>
  <si>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</si>
  <si>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</si>
  <si>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</si>
  <si>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</si>
  <si>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</si>
  <si>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</si>
  <si>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</si>
  <si>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</si>
  <si>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</si>
  <si>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</si>
  <si>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</si>
  <si>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</si>
  <si>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</si>
  <si>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</si>
  <si>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</si>
  <si>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</si>
  <si>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</si>
  <si>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</si>
  <si>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</si>
  <si>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</si>
  <si>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</si>
  <si>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</si>
  <si>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</si>
  <si>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</si>
  <si>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</si>
  <si>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</si>
  <si>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</si>
  <si>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</si>
  <si>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</si>
  <si>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</si>
  <si>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</si>
  <si>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</si>
  <si>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</si>
  <si>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</si>
  <si>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</si>
  <si>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</si>
  <si>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</si>
  <si>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</si>
  <si>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</si>
  <si>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</si>
  <si>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</si>
  <si>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</si>
  <si>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</si>
  <si>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</si>
  <si>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</si>
  <si>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</si>
  <si>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</si>
  <si>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</si>
  <si>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</si>
  <si>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</si>
  <si>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</si>
  <si>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</si>
  <si>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</si>
  <si>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</si>
  <si>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</si>
  <si>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</si>
  <si>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</si>
  <si>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</si>
  <si>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</si>
  <si>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</si>
  <si>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</si>
  <si>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</si>
  <si>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</si>
  <si>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</si>
  <si>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</si>
  <si>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</si>
  <si>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</si>
  <si>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</si>
  <si>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</si>
  <si>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</si>
  <si>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</si>
  <si>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</si>
  <si>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</si>
  <si>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</si>
  <si>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</si>
  <si>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</si>
  <si>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</si>
  <si>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</si>
  <si>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</si>
  <si>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</si>
  <si>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</si>
  <si>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</si>
  <si>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</si>
  <si>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</si>
  <si>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</si>
  <si>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</si>
  <si>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</si>
  <si>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</si>
  <si>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</si>
  <si>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</si>
  <si>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</si>
  <si>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</si>
  <si>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</si>
  <si>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</si>
  <si>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</si>
  <si>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</si>
  <si>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</si>
  <si>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</si>
  <si>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</si>
  <si>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</si>
  <si>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</si>
  <si>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</si>
  <si>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</si>
  <si>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</si>
  <si>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</si>
  <si>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</si>
  <si>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</si>
  <si>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</si>
  <si>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</si>
  <si>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</si>
  <si>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</si>
  <si>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</si>
  <si>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</si>
  <si>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</si>
  <si>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</si>
  <si>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</si>
  <si>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</si>
  <si>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</si>
  <si>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</si>
  <si>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</si>
  <si>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</si>
  <si>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</si>
  <si>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</si>
  <si>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</si>
  <si>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</si>
  <si>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</si>
  <si>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</si>
  <si>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</si>
  <si>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</si>
  <si>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</si>
  <si>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</si>
  <si>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</si>
  <si>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</si>
  <si>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</si>
  <si>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</si>
  <si>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</si>
  <si>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</si>
  <si>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</si>
  <si>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</si>
  <si>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</si>
  <si>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</si>
  <si>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</si>
  <si>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</si>
  <si>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</si>
  <si>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</si>
  <si>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</si>
  <si>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</si>
  <si>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</si>
  <si>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</si>
  <si>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</si>
  <si>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</si>
  <si>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</si>
  <si>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</si>
  <si>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</si>
  <si>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</si>
  <si>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</si>
  <si>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</si>
  <si>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</si>
  <si>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</si>
  <si>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</si>
  <si>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</si>
  <si>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</si>
  <si>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</si>
  <si>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</si>
  <si>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</si>
  <si>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</si>
  <si>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</si>
  <si>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</si>
  <si>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</si>
  <si>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</si>
  <si>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</si>
  <si>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</si>
  <si>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</si>
  <si>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</si>
  <si>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</si>
  <si>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</si>
  <si>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</si>
  <si>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</si>
  <si>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</si>
  <si>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</si>
  <si>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</si>
  <si>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</si>
  <si>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</si>
  <si>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</si>
  <si>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</si>
  <si>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</si>
  <si>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</si>
  <si>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</si>
  <si>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</si>
  <si>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</si>
  <si>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</si>
  <si>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</si>
  <si>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</si>
  <si>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</si>
  <si>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</si>
  <si>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</si>
  <si>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</si>
  <si>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</si>
  <si>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</si>
  <si>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</si>
  <si>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</si>
  <si>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</si>
  <si>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</si>
  <si>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</si>
  <si>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</si>
  <si>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</si>
  <si>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</si>
  <si>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</si>
  <si>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</si>
  <si>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</si>
  <si>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</si>
  <si>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</si>
  <si>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</si>
  <si>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</si>
  <si>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</si>
  <si>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</si>
  <si>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</si>
  <si>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</si>
  <si>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</si>
  <si>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</si>
  <si>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</si>
  <si>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</si>
  <si>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</si>
  <si>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</si>
  <si>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</si>
  <si>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</si>
  <si>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</si>
  <si>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</si>
  <si>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</si>
  <si>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</si>
  <si>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</si>
  <si>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</si>
  <si>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</si>
  <si>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</si>
  <si>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</si>
  <si>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</si>
  <si>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</si>
  <si>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</si>
  <si>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</si>
  <si>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住宅</t>
  </si>
  <si>
    <t>自然人</t>
  </si>
  <si>
    <t>北京市</t>
  </si>
  <si>
    <t>核定资产</t>
  </si>
  <si>
    <t>房地产市场价值</t>
  </si>
  <si>
    <t>是</t>
  </si>
  <si>
    <t>地上</t>
  </si>
  <si>
    <t>平层住宅</t>
  </si>
  <si>
    <t>城镇住宅用地</t>
  </si>
  <si>
    <t>500-1000米</t>
  </si>
  <si>
    <t>有</t>
  </si>
  <si>
    <t>与级别开发程度一致</t>
  </si>
  <si>
    <t>住宅</t>
    <phoneticPr fontId="7" type="noConversion"/>
  </si>
  <si>
    <t>好</t>
  </si>
  <si>
    <t>较好</t>
  </si>
  <si>
    <t>利息：取LPR加浮动点数</t>
  </si>
  <si>
    <t>未包含在土地购买价格中</t>
  </si>
  <si>
    <t>已包含在土地取得成本中</t>
  </si>
  <si>
    <t>成新度</t>
  </si>
  <si>
    <t>收益法 (元)</t>
  </si>
  <si>
    <t>押一</t>
  </si>
  <si>
    <t>正常</t>
  </si>
  <si>
    <t>钢混</t>
    <phoneticPr fontId="24" type="noConversion"/>
  </si>
  <si>
    <t>混合</t>
    <phoneticPr fontId="24" type="noConversion"/>
  </si>
  <si>
    <t>精装修</t>
    <phoneticPr fontId="24" type="noConversion"/>
  </si>
  <si>
    <t>物业公司管理</t>
    <phoneticPr fontId="24" type="noConversion"/>
  </si>
  <si>
    <t>七通</t>
    <phoneticPr fontId="24" type="noConversion"/>
  </si>
  <si>
    <t>普通装修</t>
    <phoneticPr fontId="24" type="noConversion"/>
  </si>
  <si>
    <t>高层塔楼</t>
  </si>
  <si>
    <t>高层塔楼</t>
    <phoneticPr fontId="24" type="noConversion"/>
  </si>
  <si>
    <t>楼层</t>
    <phoneticPr fontId="24" type="noConversion"/>
  </si>
  <si>
    <t>高楼层</t>
    <phoneticPr fontId="24" type="noConversion"/>
  </si>
  <si>
    <t>中楼层</t>
    <phoneticPr fontId="24" type="noConversion"/>
  </si>
  <si>
    <t>低楼层</t>
    <phoneticPr fontId="24" type="noConversion"/>
  </si>
  <si>
    <t>东南</t>
  </si>
  <si>
    <t>西南</t>
  </si>
  <si>
    <t>南</t>
  </si>
  <si>
    <t>南</t>
    <phoneticPr fontId="24" type="noConversion"/>
  </si>
  <si>
    <t>东</t>
  </si>
  <si>
    <t>东</t>
    <phoneticPr fontId="24" type="noConversion"/>
  </si>
  <si>
    <t>售价</t>
  </si>
  <si>
    <t>单套模式</t>
  </si>
  <si>
    <t>成本法 (元)</t>
  </si>
  <si>
    <t>比较法-住宅</t>
  </si>
  <si>
    <t>城市之光</t>
    <phoneticPr fontId="3" type="noConversion"/>
  </si>
  <si>
    <t>七通</t>
  </si>
  <si>
    <t>普通装修</t>
  </si>
  <si>
    <t>南线阁甲39号</t>
    <phoneticPr fontId="3" type="noConversion"/>
  </si>
  <si>
    <t>高层板楼</t>
  </si>
  <si>
    <t>高层板楼</t>
    <phoneticPr fontId="24" type="noConversion"/>
  </si>
  <si>
    <t>钢混</t>
  </si>
  <si>
    <t>物业公司管理</t>
  </si>
  <si>
    <t>不临65条商业街</t>
  </si>
  <si>
    <t>普通装修</t>
    <phoneticPr fontId="24" type="noConversion"/>
  </si>
  <si>
    <t>东南</t>
    <phoneticPr fontId="24" type="noConversion"/>
  </si>
  <si>
    <t>西南</t>
    <phoneticPr fontId="24" type="noConversion"/>
  </si>
  <si>
    <t>直线法</t>
    <phoneticPr fontId="24" type="noConversion"/>
  </si>
  <si>
    <t>现场观察法</t>
    <phoneticPr fontId="24" type="noConversion"/>
  </si>
  <si>
    <t>建成年代</t>
    <phoneticPr fontId="24" type="noConversion"/>
  </si>
  <si>
    <t>综合</t>
    <phoneticPr fontId="24" type="noConversion"/>
  </si>
  <si>
    <t>总值</t>
    <phoneticPr fontId="8" type="noConversion"/>
  </si>
  <si>
    <t>简单装修</t>
    <phoneticPr fontId="24" type="noConversion"/>
  </si>
  <si>
    <t>精装修</t>
    <phoneticPr fontId="24" type="noConversion"/>
  </si>
  <si>
    <t>一般</t>
  </si>
  <si>
    <r>
      <rPr>
        <b/>
        <sz val="10"/>
        <color indexed="8"/>
        <rFont val="宋体"/>
        <family val="3"/>
        <charset val="134"/>
      </rPr>
      <t>权重</t>
    </r>
    <phoneticPr fontId="3" type="noConversion"/>
  </si>
  <si>
    <r>
      <rPr>
        <b/>
        <sz val="10"/>
        <color theme="1"/>
        <rFont val="宋体"/>
        <family val="3"/>
        <charset val="134"/>
      </rPr>
      <t>好</t>
    </r>
    <phoneticPr fontId="134" type="noConversion"/>
  </si>
  <si>
    <r>
      <rPr>
        <b/>
        <sz val="10"/>
        <color theme="1"/>
        <rFont val="宋体"/>
        <family val="3"/>
        <charset val="134"/>
      </rPr>
      <t>较好</t>
    </r>
    <phoneticPr fontId="134" type="noConversion"/>
  </si>
  <si>
    <r>
      <rPr>
        <b/>
        <sz val="10"/>
        <color theme="1"/>
        <rFont val="宋体"/>
        <family val="3"/>
        <charset val="134"/>
      </rPr>
      <t>一般</t>
    </r>
    <phoneticPr fontId="134" type="noConversion"/>
  </si>
  <si>
    <r>
      <rPr>
        <b/>
        <sz val="10"/>
        <color theme="1"/>
        <rFont val="宋体"/>
        <family val="3"/>
        <charset val="134"/>
      </rPr>
      <t>较差</t>
    </r>
    <phoneticPr fontId="134" type="noConversion"/>
  </si>
  <si>
    <r>
      <rPr>
        <b/>
        <sz val="10"/>
        <color theme="1"/>
        <rFont val="宋体"/>
        <family val="3"/>
        <charset val="134"/>
      </rPr>
      <t>差</t>
    </r>
    <phoneticPr fontId="134" type="noConversion"/>
  </si>
  <si>
    <t>非生产用房</t>
  </si>
  <si>
    <t>估价范围判定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</si>
</sst>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177"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181" fontId="44" fillId="0" borderId="37" xfId="0" applyNumberFormat="1"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xf>
    <xf numFmtId="0" fontId="94" fillId="12" borderId="0" xfId="0" applyFont="1" applyFill="1" applyBorder="1" applyAlignment="1" applyProtection="1">
      <alignment horizontal="center" vertical="center"/>
      <protection locked="0"/>
    </xf>
    <xf numFmtId="177" fontId="68" fillId="12" borderId="0" xfId="0" applyNumberFormat="1" applyFont="1" applyFill="1" applyBorder="1" applyAlignment="1" applyProtection="1">
      <alignment horizontal="center" vertical="center" wrapText="1"/>
      <protection locked="0"/>
    </xf>
    <xf numFmtId="177" fontId="44" fillId="12" borderId="0" xfId="0" applyNumberFormat="1" applyFont="1" applyFill="1" applyBorder="1" applyAlignment="1" applyProtection="1">
      <alignment horizontal="center" vertical="center" wrapText="1"/>
      <protection locked="0"/>
    </xf>
    <xf numFmtId="181" fontId="94" fillId="12" borderId="0" xfId="0" applyNumberFormat="1" applyFont="1" applyFill="1" applyBorder="1" applyAlignment="1" applyProtection="1">
      <alignment horizontal="center" vertical="center" wrapText="1"/>
      <protection locked="0"/>
    </xf>
    <xf numFmtId="177" fontId="51" fillId="12" borderId="0" xfId="0" applyNumberFormat="1" applyFont="1" applyFill="1" applyBorder="1" applyAlignment="1" applyProtection="1">
      <alignment horizontal="center" vertical="center" wrapText="1"/>
      <protection locked="0"/>
    </xf>
    <xf numFmtId="181" fontId="51" fillId="12" borderId="0" xfId="0" applyNumberFormat="1"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81" fontId="44" fillId="0" borderId="3" xfId="0" applyNumberFormat="1"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99" fillId="0" borderId="1" xfId="0" applyFont="1" applyBorder="1" applyAlignment="1">
      <alignment horizontal="center" vertical="center"/>
    </xf>
    <xf numFmtId="0" fontId="102" fillId="0" borderId="1" xfId="0" applyFont="1" applyFill="1" applyBorder="1" applyAlignment="1" applyProtection="1">
      <alignment horizontal="center" vertical="center" wrapText="1"/>
    </xf>
    <xf numFmtId="9" fontId="99" fillId="0" borderId="1" xfId="17" applyFont="1" applyFill="1" applyBorder="1" applyAlignment="1" applyProtection="1">
      <alignment horizontal="center" vertical="center" wrapText="1"/>
    </xf>
    <xf numFmtId="0" fontId="102" fillId="0" borderId="1" xfId="0" applyFont="1" applyBorder="1" applyAlignment="1">
      <alignment horizontal="center" vertical="center"/>
    </xf>
    <xf numFmtId="0" fontId="102" fillId="0" borderId="1" xfId="0"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2" fillId="0" borderId="13" xfId="0" applyFont="1" applyBorder="1" applyAlignment="1">
      <alignment horizontal="center" vertical="center"/>
    </xf>
    <xf numFmtId="0" fontId="102" fillId="0" borderId="15" xfId="0" applyFont="1" applyBorder="1" applyAlignment="1">
      <alignment horizontal="center" vertical="center"/>
    </xf>
    <xf numFmtId="0" fontId="102" fillId="0" borderId="2" xfId="0" applyFont="1" applyBorder="1" applyAlignment="1">
      <alignment horizontal="center"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152400</xdr:colOff>
      <xdr:row>0</xdr:row>
      <xdr:rowOff>0</xdr:rowOff>
    </xdr:from>
    <xdr:to>
      <xdr:col>12</xdr:col>
      <xdr:colOff>626301</xdr:colOff>
      <xdr:row>22</xdr:row>
      <xdr:rowOff>27763</xdr:rowOff>
    </xdr:to>
    <xdr:pic>
      <xdr:nvPicPr>
        <xdr:cNvPr id="2" name="图片 1">
          <a:extLst>
            <a:ext uri="{FF2B5EF4-FFF2-40B4-BE49-F238E27FC236}">
              <a16:creationId xmlns="" xmlns:a16="http://schemas.microsoft.com/office/drawing/2014/main" id="{FE8E2DC7-BF78-406B-9B15-604975E9CBDB}"/>
            </a:ext>
          </a:extLst>
        </xdr:cNvPr>
        <xdr:cNvPicPr>
          <a:picLocks noChangeAspect="1"/>
        </xdr:cNvPicPr>
      </xdr:nvPicPr>
      <xdr:blipFill>
        <a:blip xmlns:r="http://schemas.openxmlformats.org/officeDocument/2006/relationships" r:embed="rId1"/>
        <a:stretch>
          <a:fillRect/>
        </a:stretch>
      </xdr:blipFill>
      <xdr:spPr>
        <a:xfrm>
          <a:off x="1524000" y="0"/>
          <a:ext cx="7331901" cy="3799663"/>
        </a:xfrm>
        <a:prstGeom prst="rect">
          <a:avLst/>
        </a:prstGeom>
      </xdr:spPr>
    </xdr:pic>
    <xdr:clientData/>
  </xdr:twoCellAnchor>
  <xdr:twoCellAnchor editAs="oneCell">
    <xdr:from>
      <xdr:col>11</xdr:col>
      <xdr:colOff>219075</xdr:colOff>
      <xdr:row>0</xdr:row>
      <xdr:rowOff>0</xdr:rowOff>
    </xdr:from>
    <xdr:to>
      <xdr:col>25</xdr:col>
      <xdr:colOff>646234</xdr:colOff>
      <xdr:row>27</xdr:row>
      <xdr:rowOff>128415</xdr:rowOff>
    </xdr:to>
    <xdr:pic>
      <xdr:nvPicPr>
        <xdr:cNvPr id="3" name="图片 2">
          <a:extLst>
            <a:ext uri="{FF2B5EF4-FFF2-40B4-BE49-F238E27FC236}">
              <a16:creationId xmlns="" xmlns:a16="http://schemas.microsoft.com/office/drawing/2014/main" id="{AFC5D440-89F8-4B4C-9CFB-357B1D350026}"/>
            </a:ext>
          </a:extLst>
        </xdr:cNvPr>
        <xdr:cNvPicPr>
          <a:picLocks noChangeAspect="1"/>
        </xdr:cNvPicPr>
      </xdr:nvPicPr>
      <xdr:blipFill>
        <a:blip xmlns:r="http://schemas.openxmlformats.org/officeDocument/2006/relationships" r:embed="rId2"/>
        <a:stretch>
          <a:fillRect/>
        </a:stretch>
      </xdr:blipFill>
      <xdr:spPr>
        <a:xfrm>
          <a:off x="7762875" y="0"/>
          <a:ext cx="10028359" cy="4757565"/>
        </a:xfrm>
        <a:prstGeom prst="rect">
          <a:avLst/>
        </a:prstGeom>
      </xdr:spPr>
    </xdr:pic>
    <xdr:clientData/>
  </xdr:twoCellAnchor>
  <xdr:twoCellAnchor editAs="oneCell">
    <xdr:from>
      <xdr:col>12</xdr:col>
      <xdr:colOff>247650</xdr:colOff>
      <xdr:row>22</xdr:row>
      <xdr:rowOff>123825</xdr:rowOff>
    </xdr:from>
    <xdr:to>
      <xdr:col>21</xdr:col>
      <xdr:colOff>675986</xdr:colOff>
      <xdr:row>40</xdr:row>
      <xdr:rowOff>142421</xdr:rowOff>
    </xdr:to>
    <xdr:pic>
      <xdr:nvPicPr>
        <xdr:cNvPr id="4" name="图片 3">
          <a:extLst>
            <a:ext uri="{FF2B5EF4-FFF2-40B4-BE49-F238E27FC236}">
              <a16:creationId xmlns="" xmlns:a16="http://schemas.microsoft.com/office/drawing/2014/main" id="{FC428A61-2D64-4459-BD06-D5565B615352}"/>
            </a:ext>
          </a:extLst>
        </xdr:cNvPr>
        <xdr:cNvPicPr>
          <a:picLocks noChangeAspect="1"/>
        </xdr:cNvPicPr>
      </xdr:nvPicPr>
      <xdr:blipFill>
        <a:blip xmlns:r="http://schemas.openxmlformats.org/officeDocument/2006/relationships" r:embed="rId3"/>
        <a:stretch>
          <a:fillRect/>
        </a:stretch>
      </xdr:blipFill>
      <xdr:spPr>
        <a:xfrm>
          <a:off x="8477250" y="3895725"/>
          <a:ext cx="6600536" cy="3104696"/>
        </a:xfrm>
        <a:prstGeom prst="rect">
          <a:avLst/>
        </a:prstGeom>
      </xdr:spPr>
    </xdr:pic>
    <xdr:clientData/>
  </xdr:twoCellAnchor>
  <xdr:twoCellAnchor editAs="oneCell">
    <xdr:from>
      <xdr:col>0</xdr:col>
      <xdr:colOff>0</xdr:colOff>
      <xdr:row>20</xdr:row>
      <xdr:rowOff>142875</xdr:rowOff>
    </xdr:from>
    <xdr:to>
      <xdr:col>13</xdr:col>
      <xdr:colOff>28460</xdr:colOff>
      <xdr:row>40</xdr:row>
      <xdr:rowOff>142355</xdr:rowOff>
    </xdr:to>
    <xdr:pic>
      <xdr:nvPicPr>
        <xdr:cNvPr id="5" name="图片 4">
          <a:extLst>
            <a:ext uri="{FF2B5EF4-FFF2-40B4-BE49-F238E27FC236}">
              <a16:creationId xmlns="" xmlns:a16="http://schemas.microsoft.com/office/drawing/2014/main" id="{E2248C07-BEB8-4C89-BA9D-822EDDF0D543}"/>
            </a:ext>
          </a:extLst>
        </xdr:cNvPr>
        <xdr:cNvPicPr>
          <a:picLocks noChangeAspect="1"/>
        </xdr:cNvPicPr>
      </xdr:nvPicPr>
      <xdr:blipFill>
        <a:blip xmlns:r="http://schemas.openxmlformats.org/officeDocument/2006/relationships" r:embed="rId4"/>
        <a:stretch>
          <a:fillRect/>
        </a:stretch>
      </xdr:blipFill>
      <xdr:spPr>
        <a:xfrm>
          <a:off x="0" y="3571875"/>
          <a:ext cx="8943860" cy="3428480"/>
        </a:xfrm>
        <a:prstGeom prst="rect">
          <a:avLst/>
        </a:prstGeom>
      </xdr:spPr>
    </xdr:pic>
    <xdr:clientData/>
  </xdr:twoCellAnchor>
  <xdr:twoCellAnchor editAs="oneCell">
    <xdr:from>
      <xdr:col>0</xdr:col>
      <xdr:colOff>0</xdr:colOff>
      <xdr:row>41</xdr:row>
      <xdr:rowOff>57150</xdr:rowOff>
    </xdr:from>
    <xdr:to>
      <xdr:col>9</xdr:col>
      <xdr:colOff>332562</xdr:colOff>
      <xdr:row>52</xdr:row>
      <xdr:rowOff>142629</xdr:rowOff>
    </xdr:to>
    <xdr:pic>
      <xdr:nvPicPr>
        <xdr:cNvPr id="6" name="图片 5">
          <a:extLst>
            <a:ext uri="{FF2B5EF4-FFF2-40B4-BE49-F238E27FC236}">
              <a16:creationId xmlns="" xmlns:a16="http://schemas.microsoft.com/office/drawing/2014/main" id="{53EDF276-8FDD-4525-A99F-2F3138A3C8FA}"/>
            </a:ext>
          </a:extLst>
        </xdr:cNvPr>
        <xdr:cNvPicPr>
          <a:picLocks noChangeAspect="1"/>
        </xdr:cNvPicPr>
      </xdr:nvPicPr>
      <xdr:blipFill>
        <a:blip xmlns:r="http://schemas.openxmlformats.org/officeDocument/2006/relationships" r:embed="rId5"/>
        <a:stretch>
          <a:fillRect/>
        </a:stretch>
      </xdr:blipFill>
      <xdr:spPr>
        <a:xfrm>
          <a:off x="0" y="7086600"/>
          <a:ext cx="6504762" cy="1971429"/>
        </a:xfrm>
        <a:prstGeom prst="rect">
          <a:avLst/>
        </a:prstGeom>
      </xdr:spPr>
    </xdr:pic>
    <xdr:clientData/>
  </xdr:twoCellAnchor>
  <xdr:twoCellAnchor editAs="oneCell">
    <xdr:from>
      <xdr:col>0</xdr:col>
      <xdr:colOff>0</xdr:colOff>
      <xdr:row>51</xdr:row>
      <xdr:rowOff>47625</xdr:rowOff>
    </xdr:from>
    <xdr:to>
      <xdr:col>18</xdr:col>
      <xdr:colOff>427028</xdr:colOff>
      <xdr:row>56</xdr:row>
      <xdr:rowOff>9423</xdr:rowOff>
    </xdr:to>
    <xdr:pic>
      <xdr:nvPicPr>
        <xdr:cNvPr id="7" name="图片 6">
          <a:extLst>
            <a:ext uri="{FF2B5EF4-FFF2-40B4-BE49-F238E27FC236}">
              <a16:creationId xmlns="" xmlns:a16="http://schemas.microsoft.com/office/drawing/2014/main" id="{0835D30C-6464-420F-AF47-471FFE512073}"/>
            </a:ext>
          </a:extLst>
        </xdr:cNvPr>
        <xdr:cNvPicPr>
          <a:picLocks noChangeAspect="1"/>
        </xdr:cNvPicPr>
      </xdr:nvPicPr>
      <xdr:blipFill>
        <a:blip xmlns:r="http://schemas.openxmlformats.org/officeDocument/2006/relationships" r:embed="rId6"/>
        <a:stretch>
          <a:fillRect/>
        </a:stretch>
      </xdr:blipFill>
      <xdr:spPr>
        <a:xfrm>
          <a:off x="0" y="8791575"/>
          <a:ext cx="12771428" cy="819048"/>
        </a:xfrm>
        <a:prstGeom prst="rect">
          <a:avLst/>
        </a:prstGeom>
      </xdr:spPr>
    </xdr:pic>
    <xdr:clientData/>
  </xdr:twoCellAnchor>
  <xdr:twoCellAnchor editAs="oneCell">
    <xdr:from>
      <xdr:col>0</xdr:col>
      <xdr:colOff>180975</xdr:colOff>
      <xdr:row>55</xdr:row>
      <xdr:rowOff>104775</xdr:rowOff>
    </xdr:from>
    <xdr:to>
      <xdr:col>12</xdr:col>
      <xdr:colOff>437089</xdr:colOff>
      <xdr:row>75</xdr:row>
      <xdr:rowOff>28156</xdr:rowOff>
    </xdr:to>
    <xdr:pic>
      <xdr:nvPicPr>
        <xdr:cNvPr id="8" name="图片 7">
          <a:extLst>
            <a:ext uri="{FF2B5EF4-FFF2-40B4-BE49-F238E27FC236}">
              <a16:creationId xmlns="" xmlns:a16="http://schemas.microsoft.com/office/drawing/2014/main" id="{F8BB2CD5-F301-4EF4-9CE2-EA9A41D50ED2}"/>
            </a:ext>
          </a:extLst>
        </xdr:cNvPr>
        <xdr:cNvPicPr>
          <a:picLocks noChangeAspect="1"/>
        </xdr:cNvPicPr>
      </xdr:nvPicPr>
      <xdr:blipFill>
        <a:blip xmlns:r="http://schemas.openxmlformats.org/officeDocument/2006/relationships" r:embed="rId7"/>
        <a:stretch>
          <a:fillRect/>
        </a:stretch>
      </xdr:blipFill>
      <xdr:spPr>
        <a:xfrm>
          <a:off x="180975" y="9534525"/>
          <a:ext cx="8485714" cy="3352381"/>
        </a:xfrm>
        <a:prstGeom prst="rect">
          <a:avLst/>
        </a:prstGeom>
      </xdr:spPr>
    </xdr:pic>
    <xdr:clientData/>
  </xdr:twoCellAnchor>
  <xdr:twoCellAnchor editAs="oneCell">
    <xdr:from>
      <xdr:col>12</xdr:col>
      <xdr:colOff>523875</xdr:colOff>
      <xdr:row>57</xdr:row>
      <xdr:rowOff>0</xdr:rowOff>
    </xdr:from>
    <xdr:to>
      <xdr:col>24</xdr:col>
      <xdr:colOff>256180</xdr:colOff>
      <xdr:row>66</xdr:row>
      <xdr:rowOff>171236</xdr:rowOff>
    </xdr:to>
    <xdr:pic>
      <xdr:nvPicPr>
        <xdr:cNvPr id="9" name="图片 8">
          <a:extLst>
            <a:ext uri="{FF2B5EF4-FFF2-40B4-BE49-F238E27FC236}">
              <a16:creationId xmlns="" xmlns:a16="http://schemas.microsoft.com/office/drawing/2014/main" id="{249CDEF3-BE24-4F0B-AF21-00EFD9EAECF3}"/>
            </a:ext>
          </a:extLst>
        </xdr:cNvPr>
        <xdr:cNvPicPr>
          <a:picLocks noChangeAspect="1"/>
        </xdr:cNvPicPr>
      </xdr:nvPicPr>
      <xdr:blipFill>
        <a:blip xmlns:r="http://schemas.openxmlformats.org/officeDocument/2006/relationships" r:embed="rId8"/>
        <a:stretch>
          <a:fillRect/>
        </a:stretch>
      </xdr:blipFill>
      <xdr:spPr>
        <a:xfrm>
          <a:off x="8753475" y="9772650"/>
          <a:ext cx="7961905" cy="1714286"/>
        </a:xfrm>
        <a:prstGeom prst="rect">
          <a:avLst/>
        </a:prstGeom>
      </xdr:spPr>
    </xdr:pic>
    <xdr:clientData/>
  </xdr:twoCellAnchor>
  <xdr:twoCellAnchor editAs="oneCell">
    <xdr:from>
      <xdr:col>12</xdr:col>
      <xdr:colOff>533400</xdr:colOff>
      <xdr:row>66</xdr:row>
      <xdr:rowOff>28575</xdr:rowOff>
    </xdr:from>
    <xdr:to>
      <xdr:col>21</xdr:col>
      <xdr:colOff>456438</xdr:colOff>
      <xdr:row>78</xdr:row>
      <xdr:rowOff>28318</xdr:rowOff>
    </xdr:to>
    <xdr:pic>
      <xdr:nvPicPr>
        <xdr:cNvPr id="10" name="图片 9">
          <a:extLst>
            <a:ext uri="{FF2B5EF4-FFF2-40B4-BE49-F238E27FC236}">
              <a16:creationId xmlns="" xmlns:a16="http://schemas.microsoft.com/office/drawing/2014/main" id="{441508FF-8ED6-4017-B91A-50FB16464767}"/>
            </a:ext>
          </a:extLst>
        </xdr:cNvPr>
        <xdr:cNvPicPr>
          <a:picLocks noChangeAspect="1"/>
        </xdr:cNvPicPr>
      </xdr:nvPicPr>
      <xdr:blipFill>
        <a:blip xmlns:r="http://schemas.openxmlformats.org/officeDocument/2006/relationships" r:embed="rId9"/>
        <a:stretch>
          <a:fillRect/>
        </a:stretch>
      </xdr:blipFill>
      <xdr:spPr>
        <a:xfrm>
          <a:off x="8763000" y="11344275"/>
          <a:ext cx="6095238" cy="2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1194" customWidth="1"/>
    <col min="2" max="2" width="81" style="1211" customWidth="1"/>
    <col min="3" max="16384" width="9" style="1209"/>
  </cols>
  <sheetData>
    <row r="1" spans="1:2" s="1197" customFormat="1" ht="16" thickBot="1">
      <c r="A1" s="1196" t="s">
        <v>521</v>
      </c>
      <c r="B1" s="1195" t="s">
        <v>600</v>
      </c>
    </row>
    <row r="2" spans="1:2" s="1200" customFormat="1" ht="15.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5" thickBot="1">
      <c r="A5" s="1204" t="s">
        <v>525</v>
      </c>
      <c r="B5" s="1205" t="str">
        <f>'预评函-封皮'!B49</f>
        <v>康正预评字号</v>
      </c>
    </row>
    <row r="6" spans="1:2" s="1200" customFormat="1" ht="15.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估价对象为北京市房地产，为所有。根据《国有土地使用证》[]，估价对象（分摊）出让国有建设用地使用权面积为0平方米，建筑面积为142.19平方米。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估价对象为北京市房地产,属开发建设的，该项目尚在开发建设中。根据《国有土地使用证》[]，估价对象（分摊）出让国有建设用地使用权面积为0平方米，规划建筑面积为142.19平方米。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2023年5月26日（评估专业人员实地查勘之日）</v>
      </c>
    </row>
    <row r="13" spans="1:2" s="1203" customFormat="1">
      <c r="A13" s="1201" t="s">
        <v>529</v>
      </c>
      <c r="B13" s="1202" t="str">
        <f>'预评函-1'!A18</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5" thickBot="1">
      <c r="A18" s="1204" t="s">
        <v>534</v>
      </c>
      <c r="B18" s="1205" t="str">
        <f>'预评函-1'!A24</f>
        <v>本次评估采用的主估价方法为比较法和成本法。</v>
      </c>
    </row>
    <row r="19" spans="1:2" s="1200" customFormat="1" ht="15.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0">
      <c r="A42" s="1201" t="s">
        <v>590</v>
      </c>
      <c r="B42" s="1202" t="str">
        <f>'预评函-3'!B2</f>
        <v>建筑面积</v>
      </c>
    </row>
    <row r="43" spans="1:2" s="1203" customFormat="1">
      <c r="A43" s="1201" t="s">
        <v>591</v>
      </c>
      <c r="B43" s="1202">
        <f>'预评函-3'!B4</f>
        <v>142.19</v>
      </c>
    </row>
    <row r="44" spans="1:2" s="1203" customFormat="1" ht="30">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5" thickBot="1">
      <c r="A57" s="1204" t="s">
        <v>599</v>
      </c>
      <c r="B57" s="1205" t="str">
        <f>'预评函-3'!A6</f>
        <v/>
      </c>
    </row>
    <row r="58" spans="1:2" s="1200" customFormat="1" ht="15.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5" thickBot="1">
      <c r="A69" s="1204" t="s">
        <v>561</v>
      </c>
      <c r="B69" s="1206">
        <f>'预评函-4'!C31</f>
        <v>42551</v>
      </c>
    </row>
    <row r="70" spans="1:2" ht="15.5" thickTop="1">
      <c r="A70" s="1207" t="s">
        <v>562</v>
      </c>
      <c r="B70" s="1208">
        <f>'预评函-4'!A4</f>
        <v>0</v>
      </c>
    </row>
    <row r="71" spans="1:2">
      <c r="A71" s="1201" t="s">
        <v>563</v>
      </c>
      <c r="B71" s="1202">
        <f>'预评函-4'!B4</f>
        <v>0</v>
      </c>
    </row>
    <row r="72" spans="1:2">
      <c r="A72" s="1201" t="s">
        <v>564</v>
      </c>
      <c r="B72" s="1210">
        <f>'预评函-4'!A5</f>
        <v>0</v>
      </c>
    </row>
    <row r="73" spans="1:2" s="1197" customFormat="1" ht="15.5" thickBot="1">
      <c r="A73" s="1204" t="s">
        <v>565</v>
      </c>
      <c r="B73" s="1205">
        <f>'预评函-4'!B5</f>
        <v>0</v>
      </c>
    </row>
    <row r="74" spans="1:2" ht="15.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
  <cols>
    <col min="1" max="1" width="13.453125" style="1556" customWidth="1"/>
    <col min="2" max="2" width="23.26953125" style="1507" customWidth="1"/>
    <col min="3" max="3" width="13" style="1551" customWidth="1"/>
    <col min="4" max="4" width="5.7265625" style="1548" customWidth="1"/>
    <col min="5" max="5" width="7.08984375" style="1548" customWidth="1"/>
    <col min="6" max="6" width="10.6328125" style="1548" customWidth="1"/>
    <col min="7" max="7" width="7.453125" style="1548" customWidth="1"/>
    <col min="8" max="8" width="11.90625" style="1551" customWidth="1"/>
    <col min="9" max="9" width="11.6328125" style="1551" customWidth="1"/>
    <col min="10" max="10" width="9" style="1551" customWidth="1"/>
    <col min="11" max="19" width="9" style="1548" customWidth="1"/>
    <col min="20" max="23" width="9" style="1551" customWidth="1"/>
    <col min="24" max="24" width="21.08984375" style="1507" customWidth="1"/>
    <col min="25" max="16384" width="9" style="1507"/>
  </cols>
  <sheetData>
    <row r="1" spans="1:23" s="1545" customFormat="1" ht="42">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6953125" defaultRowHeight="14"/>
  <cols>
    <col min="1" max="7" width="15.26953125" style="3014"/>
    <col min="8" max="8" width="5.453125" style="3014" customWidth="1"/>
    <col min="9" max="13" width="9.453125" style="3056" customWidth="1"/>
    <col min="14" max="18" width="9.453125" style="3014" customWidth="1"/>
    <col min="19" max="16384" width="15.269531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15" t="s">
        <v>2583</v>
      </c>
      <c r="J2" s="3515"/>
      <c r="K2" s="3515"/>
      <c r="L2" s="3515"/>
      <c r="M2" s="3515"/>
      <c r="N2" s="3515"/>
      <c r="O2" s="3515"/>
      <c r="P2" s="3515"/>
      <c r="Q2" s="3515"/>
      <c r="R2" s="3515"/>
    </row>
    <row r="3" spans="1:18">
      <c r="A3" s="3018" t="s">
        <v>2504</v>
      </c>
      <c r="B3" s="3019">
        <f>项目基本情况!D3</f>
        <v>45072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3.56</v>
      </c>
      <c r="D5" s="3023">
        <f>IF(ISERROR(ROUND(POWER(1+E5,A5-C5)*(POWER(1+E5,C5)-1)/(POWER(1+E5,A5)-1),3)),0,ROUND(POWER(1+E5,A5-C5)*(POWER(1+E5,C5)-1)/(POWER(1+E5,A5)-1),4))</f>
        <v>0.1646</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13.57</v>
      </c>
      <c r="D6" s="3023">
        <f>IF(ISERROR(ROUND(POWER(1+E6,A6-C6)*(POWER(1+E6,C6)-1)/(POWER(1+E6,A6)-1),3)),0,ROUND(POWER(1+E6,A6-C6)*(POWER(1+E6,C6)-1)/(POWER(1+E6,A6)-1),4))</f>
        <v>0.4803</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33.590000000000003</v>
      </c>
      <c r="D7" s="3023">
        <f>IF(ISERROR(ROUND(POWER(1+E7,A7-C7)*(POWER(1+E7,C7)-1)/(POWER(1+E7,A7)-1),3)),0,ROUND(POWER(1+E7,A7-C7)*(POWER(1+E7,C7)-1)/(POWER(1+E7,A7)-1),4))</f>
        <v>0.78239999999999998</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5" thickBot="1">
      <c r="A18" s="3029" t="s">
        <v>2519</v>
      </c>
      <c r="B18" s="3030">
        <f>ROUND(B17*F11/F12,2)</f>
        <v>5541.87</v>
      </c>
      <c r="C18" s="3030">
        <f>ROUND(F11/F12,4)</f>
        <v>1.1521999999999999</v>
      </c>
      <c r="D18" s="3031"/>
      <c r="E18" s="3031"/>
      <c r="F18" s="3032"/>
    </row>
    <row r="19" spans="1:13" ht="14.5" thickBot="1"/>
    <row r="20" spans="1:13" s="3067" customFormat="1" ht="14.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L18" sqref="L18"/>
    </sheetView>
  </sheetViews>
  <sheetFormatPr defaultColWidth="10" defaultRowHeight="12.5"/>
  <cols>
    <col min="1" max="1" width="16.90625" style="1745" customWidth="1"/>
    <col min="2" max="2" width="10" style="1745" customWidth="1"/>
    <col min="3" max="3" width="11.453125" style="1745" customWidth="1"/>
    <col min="4" max="4" width="10" style="1745" customWidth="1"/>
    <col min="5" max="5" width="12.6328125" style="1745" customWidth="1"/>
    <col min="6" max="6" width="10" style="1745" customWidth="1"/>
    <col min="7" max="7" width="10.7265625" style="1745" customWidth="1"/>
    <col min="8" max="8" width="10" style="1745" customWidth="1"/>
    <col min="9" max="9" width="11.08984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16" t="str">
        <f>IF(B10="北京市","北京市",C10)&amp;F10&amp;IF(结果表!G1="在建","出让国有建设用地使用权及在建建筑物",IF(结果表!G1="土地","出让国有建设用地使用权",))&amp;B9&amp;"预评估"</f>
        <v>北京市房地产市场价值预评估</v>
      </c>
      <c r="C1" s="3517"/>
      <c r="D1" s="3517"/>
      <c r="E1" s="3517"/>
      <c r="F1" s="3517"/>
      <c r="G1" s="3517"/>
      <c r="H1" s="3517"/>
      <c r="I1" s="3518"/>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ht="13">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ht="13">
      <c r="A3" s="302" t="s">
        <v>2170</v>
      </c>
      <c r="B3" s="2371">
        <v>45072</v>
      </c>
      <c r="C3" s="2372" t="s">
        <v>2171</v>
      </c>
      <c r="D3" s="2371">
        <v>45072</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ht="13">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ht="13">
      <c r="A7" s="2381" t="s">
        <v>2175</v>
      </c>
      <c r="B7" s="2385"/>
      <c r="C7" s="2383"/>
      <c r="D7" s="2384"/>
      <c r="E7" s="2660"/>
      <c r="F7" s="2662"/>
      <c r="G7" s="2662">
        <v>1997</v>
      </c>
      <c r="H7" s="2662"/>
      <c r="I7" s="2662"/>
      <c r="J7" s="2437"/>
      <c r="K7" s="2614"/>
      <c r="L7" s="2611"/>
      <c r="M7" s="2611"/>
      <c r="N7" s="2437"/>
      <c r="O7" s="2448"/>
      <c r="P7" s="2437"/>
      <c r="Q7" s="2437"/>
      <c r="R7" s="2437"/>
    </row>
    <row r="8" spans="1:30" ht="13">
      <c r="A8" s="2386" t="s">
        <v>2176</v>
      </c>
      <c r="B8" s="2387" t="s">
        <v>3381</v>
      </c>
      <c r="C8" s="2388"/>
      <c r="D8" s="3519" t="s">
        <v>2177</v>
      </c>
      <c r="E8" s="2389"/>
      <c r="F8" s="2390"/>
      <c r="G8" s="2661">
        <f>G7+70</f>
        <v>2067</v>
      </c>
      <c r="H8" s="2661"/>
      <c r="I8" s="2661"/>
      <c r="J8" s="2437"/>
      <c r="K8" s="2612"/>
      <c r="L8" s="2611"/>
      <c r="M8" s="2611"/>
      <c r="N8" s="2437"/>
      <c r="O8" s="2448"/>
      <c r="P8" s="2437"/>
      <c r="Q8" s="2437"/>
      <c r="R8" s="2437"/>
    </row>
    <row r="9" spans="1:30" ht="13.5" thickBot="1">
      <c r="A9" s="2391" t="s">
        <v>2178</v>
      </c>
      <c r="B9" s="2392" t="s">
        <v>3382</v>
      </c>
      <c r="C9" s="2393"/>
      <c r="D9" s="3520"/>
      <c r="E9" s="2392"/>
      <c r="F9" s="2394"/>
      <c r="G9" s="2663"/>
      <c r="H9" s="2663"/>
      <c r="I9" s="2663"/>
      <c r="J9" s="2437"/>
      <c r="K9" s="2614"/>
      <c r="L9" s="2611"/>
      <c r="M9" s="2611"/>
      <c r="N9" s="2437"/>
      <c r="O9" s="2448"/>
      <c r="P9" s="2437"/>
      <c r="Q9" s="2437"/>
      <c r="R9" s="2437"/>
    </row>
    <row r="10" spans="1:30" ht="13.5" thickTop="1">
      <c r="A10" s="2395" t="s">
        <v>2179</v>
      </c>
      <c r="B10" s="2396" t="s">
        <v>3380</v>
      </c>
      <c r="C10" s="2397"/>
      <c r="D10" s="2380"/>
      <c r="E10" s="2398" t="s">
        <v>2180</v>
      </c>
      <c r="F10" s="2664"/>
      <c r="G10" s="2665"/>
      <c r="H10" s="2666"/>
      <c r="I10" s="2667"/>
      <c r="J10" s="2437"/>
      <c r="K10" s="2614"/>
      <c r="L10" s="2611"/>
      <c r="M10" s="2611"/>
      <c r="N10" s="2437"/>
      <c r="O10" s="2448"/>
      <c r="P10" s="2437"/>
      <c r="Q10" s="2437"/>
      <c r="R10" s="2437"/>
    </row>
    <row r="11" spans="1:30" ht="13">
      <c r="A11" s="2399" t="s">
        <v>2181</v>
      </c>
      <c r="B11" s="2400" t="s">
        <v>3379</v>
      </c>
      <c r="C11" s="2401"/>
      <c r="D11" s="2402"/>
      <c r="E11" s="2368"/>
      <c r="F11" s="2368"/>
      <c r="G11" s="2368"/>
      <c r="H11" s="2368"/>
      <c r="I11" s="2368"/>
      <c r="J11" s="3059"/>
      <c r="K11" s="3058"/>
      <c r="L11" s="2611"/>
      <c r="M11" s="2611"/>
      <c r="N11" s="2437"/>
      <c r="O11" s="2448"/>
      <c r="P11" s="2437"/>
      <c r="Q11" s="2437"/>
      <c r="R11" s="2437"/>
    </row>
    <row r="12" spans="1:30" ht="13">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ht="13">
      <c r="A13" s="3421" t="s">
        <v>3337</v>
      </c>
      <c r="B13" s="2405" t="s">
        <v>2190</v>
      </c>
      <c r="C13" s="856">
        <v>60405</v>
      </c>
      <c r="D13" s="856"/>
      <c r="E13" s="856"/>
      <c r="F13" s="856"/>
      <c r="G13" s="856"/>
      <c r="H13" s="856"/>
      <c r="I13" s="856"/>
      <c r="J13" s="3060"/>
      <c r="K13" s="2611"/>
      <c r="L13" s="2611"/>
      <c r="M13" s="2437"/>
      <c r="N13" s="2448"/>
      <c r="O13" s="2437"/>
      <c r="P13" s="2437"/>
      <c r="Q13" s="2437"/>
      <c r="AD13" s="1745"/>
    </row>
    <row r="14" spans="1:30" ht="13">
      <c r="A14" s="1081"/>
      <c r="B14" s="2405" t="s">
        <v>2191</v>
      </c>
      <c r="C14" s="2406">
        <v>70</v>
      </c>
      <c r="D14" s="2406"/>
      <c r="E14" s="2406"/>
      <c r="F14" s="2406"/>
      <c r="G14" s="2406"/>
      <c r="H14" s="2406"/>
      <c r="I14" s="2406"/>
      <c r="J14" s="3061"/>
      <c r="K14" s="2611"/>
      <c r="L14" s="2611"/>
      <c r="M14" s="2437"/>
      <c r="N14" s="2448"/>
      <c r="O14" s="2437"/>
      <c r="P14" s="2437"/>
      <c r="Q14" s="2437"/>
      <c r="AD14" s="1745"/>
    </row>
    <row r="15" spans="1:30" ht="13">
      <c r="A15" s="320"/>
      <c r="B15" s="2407" t="s">
        <v>2192</v>
      </c>
      <c r="C15" s="2408">
        <f>IF(A13="出让",IF(C13="","",ROUNDDOWN(MIN((C13-$D$3)/365,C14),2)),C14)</f>
        <v>42</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ht="13">
      <c r="A16" s="2398" t="s">
        <v>2193</v>
      </c>
      <c r="B16" s="3526"/>
      <c r="C16" s="3527"/>
      <c r="D16" s="3528"/>
      <c r="E16" s="2411" t="s">
        <v>2194</v>
      </c>
      <c r="F16" s="3529"/>
      <c r="G16" s="3530"/>
      <c r="H16" s="3530"/>
      <c r="I16" s="3531"/>
      <c r="J16" s="2437"/>
      <c r="K16" s="2615"/>
      <c r="L16" s="2449"/>
      <c r="M16" s="2449"/>
      <c r="N16" s="2507"/>
      <c r="O16" s="2449"/>
      <c r="P16" s="2507"/>
      <c r="Q16" s="2437"/>
      <c r="R16" s="2437"/>
    </row>
    <row r="17" spans="1:28" ht="13">
      <c r="A17" s="313" t="s">
        <v>2195</v>
      </c>
      <c r="B17" s="302" t="s">
        <v>2196</v>
      </c>
      <c r="C17" s="8">
        <f>'数据-汇总表'!E3</f>
        <v>142.19</v>
      </c>
      <c r="D17" s="2320" t="s">
        <v>2197</v>
      </c>
      <c r="E17" s="3532" t="s">
        <v>2198</v>
      </c>
      <c r="F17" s="3533"/>
      <c r="G17" s="3533"/>
      <c r="H17" s="3533"/>
      <c r="I17" s="3534"/>
      <c r="J17" s="2437"/>
      <c r="K17" s="2616"/>
      <c r="L17" s="2449"/>
      <c r="M17" s="2449"/>
      <c r="N17" s="2507"/>
      <c r="O17" s="2449"/>
      <c r="P17" s="2507"/>
      <c r="Q17" s="2437"/>
      <c r="R17" s="2437"/>
      <c r="S17" s="2437"/>
      <c r="T17" s="2437"/>
      <c r="U17" s="2437"/>
      <c r="V17" s="2437"/>
    </row>
    <row r="18" spans="1:28" ht="26.5" thickBot="1">
      <c r="A18" s="2412" t="s">
        <v>2199</v>
      </c>
      <c r="B18" s="1090" t="s">
        <v>2200</v>
      </c>
      <c r="C18" s="2413">
        <f>'数据-汇总表'!D3</f>
        <v>0</v>
      </c>
      <c r="D18" s="1092" t="s">
        <v>2201</v>
      </c>
      <c r="E18" s="3535" t="s">
        <v>2202</v>
      </c>
      <c r="F18" s="3536"/>
      <c r="G18" s="3536"/>
      <c r="H18" s="3536"/>
      <c r="I18" s="3537"/>
      <c r="J18" s="2437"/>
      <c r="K18" s="2616"/>
      <c r="L18" s="2449"/>
      <c r="M18" s="2449"/>
      <c r="N18" s="2507"/>
      <c r="O18" s="2449"/>
      <c r="P18" s="2507"/>
      <c r="Q18" s="2437"/>
      <c r="R18" s="2437"/>
      <c r="S18" s="2437"/>
      <c r="T18" s="2437"/>
      <c r="U18" s="2437"/>
      <c r="V18" s="2437"/>
    </row>
    <row r="19" spans="1:28" ht="40"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ht="13">
      <c r="A20" s="2630" t="s">
        <v>2205</v>
      </c>
      <c r="B20" s="3522" t="s">
        <v>2206</v>
      </c>
      <c r="C20" s="3523"/>
      <c r="D20" s="3524" t="s">
        <v>2207</v>
      </c>
      <c r="E20" s="3525"/>
      <c r="F20" s="2645" t="s">
        <v>1056</v>
      </c>
      <c r="G20" s="2662"/>
      <c r="H20" s="2662"/>
      <c r="I20" s="2662"/>
      <c r="J20" s="2437"/>
      <c r="K20" s="352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6.5" thickBot="1">
      <c r="A21" s="2630"/>
      <c r="B21" s="2631" t="s">
        <v>2209</v>
      </c>
      <c r="C21" s="2632" t="s">
        <v>1057</v>
      </c>
      <c r="D21" s="1568" t="s">
        <v>2210</v>
      </c>
      <c r="E21" s="2633" t="s">
        <v>1057</v>
      </c>
      <c r="F21" s="2646"/>
      <c r="G21" s="2662"/>
      <c r="H21" s="2662"/>
      <c r="I21" s="2662"/>
      <c r="J21" s="2437"/>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6.5" thickBot="1">
      <c r="A22" s="2630"/>
      <c r="B22" s="2634" t="s">
        <v>2211</v>
      </c>
      <c r="C22" s="2632" t="s">
        <v>1058</v>
      </c>
      <c r="D22" s="2661"/>
      <c r="E22" s="2661"/>
      <c r="F22" s="2661"/>
      <c r="G22" s="2662"/>
      <c r="H22" s="2662"/>
      <c r="I22" s="2662"/>
      <c r="J22" s="2437"/>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ht="13">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ht="13">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ht="13">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9"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ht="13">
      <c r="A28" s="3539"/>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ht="13">
      <c r="A29" s="3539"/>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ht="13">
      <c r="A30" s="3540"/>
      <c r="B30" s="302" t="s">
        <v>2218</v>
      </c>
      <c r="C30" s="3541"/>
      <c r="D30" s="3542"/>
      <c r="E30" s="2662"/>
      <c r="F30" s="2662"/>
      <c r="G30" s="2662"/>
      <c r="H30" s="2662"/>
      <c r="I30" s="2662"/>
      <c r="J30" s="2437"/>
      <c r="K30" s="2614"/>
      <c r="L30" s="2611"/>
      <c r="M30" s="2611"/>
      <c r="N30" s="2437"/>
      <c r="O30" s="2448"/>
      <c r="P30" s="2437"/>
      <c r="Q30" s="2437"/>
      <c r="R30" s="2437"/>
      <c r="S30" s="2437"/>
      <c r="T30" s="2437"/>
      <c r="U30" s="2437"/>
      <c r="V30" s="2437"/>
    </row>
    <row r="31" spans="1:28">
      <c r="A31" s="3543"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44"/>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44"/>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ht="13">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38" t="s">
        <v>2228</v>
      </c>
      <c r="T34" s="2426" t="str">
        <f>NUMBERSTRING(7-K34,1)&amp;"通"</f>
        <v>七通</v>
      </c>
      <c r="U34" s="2437"/>
      <c r="V34" s="2437"/>
    </row>
    <row r="35" spans="1:30">
      <c r="A35" s="2427"/>
      <c r="B35" s="3545" t="s">
        <v>2229</v>
      </c>
      <c r="C35" s="3545"/>
      <c r="D35" s="3545"/>
      <c r="E35" s="3545"/>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7"/>
      <c r="V35" s="2437"/>
    </row>
    <row r="36" spans="1:30" ht="13">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ht="13">
      <c r="A37" s="2628" t="s">
        <v>2230</v>
      </c>
      <c r="B37" s="2429"/>
      <c r="C37" s="2429"/>
      <c r="D37" s="2429" t="s">
        <v>184</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t="s">
        <v>194</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ht="13">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6">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8" sqref="L8"/>
    </sheetView>
  </sheetViews>
  <sheetFormatPr defaultColWidth="8.90625" defaultRowHeight="14"/>
  <cols>
    <col min="1" max="1" width="10.6328125" style="1573" customWidth="1"/>
    <col min="2" max="2" width="11" style="1573" customWidth="1"/>
    <col min="3" max="3" width="10.36328125" style="1573" customWidth="1"/>
    <col min="4" max="4" width="9.08984375" style="1573" customWidth="1"/>
    <col min="5" max="6" width="10" style="1634" customWidth="1"/>
    <col min="7" max="8" width="10" style="1573" customWidth="1"/>
    <col min="9" max="9" width="10.6328125" style="1573" customWidth="1"/>
    <col min="10" max="10" width="9.453125" style="1573" customWidth="1"/>
    <col min="11" max="11" width="11" style="1573" customWidth="1"/>
    <col min="12" max="14" width="9.453125" style="1573" customWidth="1"/>
    <col min="15" max="15" width="9.90625" style="1573" customWidth="1"/>
    <col min="16" max="16" width="9.7265625" style="1573" customWidth="1"/>
    <col min="17" max="17" width="9.36328125" style="1573" customWidth="1"/>
    <col min="18" max="18" width="9.26953125" style="1573" customWidth="1"/>
    <col min="19" max="19" width="10.90625" style="1573" customWidth="1"/>
    <col min="20" max="21" width="10.7265625" style="1573" customWidth="1"/>
    <col min="22" max="22" width="10.90625" style="1573" customWidth="1"/>
    <col min="23" max="27" width="10.7265625" style="1573" customWidth="1"/>
    <col min="28" max="28" width="10.90625" style="1573" customWidth="1"/>
    <col min="29" max="29" width="11" style="1573" bestFit="1" customWidth="1"/>
    <col min="30" max="30" width="10" style="1573" bestFit="1" customWidth="1"/>
    <col min="31" max="31" width="9.7265625" style="1573" customWidth="1"/>
    <col min="32" max="46" width="9.453125" style="1573" customWidth="1"/>
    <col min="47" max="47" width="18.08984375" style="1573" customWidth="1"/>
    <col min="48" max="50" width="9.7265625" style="1573" customWidth="1"/>
    <col min="51" max="55" width="10.453125" style="1573" bestFit="1" customWidth="1"/>
    <col min="56" max="56" width="9.453125" style="1573" bestFit="1" customWidth="1"/>
    <col min="57" max="63" width="9.08984375" style="1573" bestFit="1" customWidth="1"/>
    <col min="64" max="64" width="9.453125" style="1573" bestFit="1" customWidth="1"/>
    <col min="65" max="65" width="9.08984375" style="1573" bestFit="1" customWidth="1"/>
    <col min="66" max="66" width="9.453125" style="1573" bestFit="1" customWidth="1"/>
    <col min="67" max="69" width="9.08984375" style="1573" bestFit="1" customWidth="1"/>
    <col min="70" max="70" width="9.453125" style="1573" bestFit="1" customWidth="1"/>
    <col min="71" max="71" width="9" style="1573" customWidth="1"/>
    <col min="72" max="72" width="9.08984375" style="1573" bestFit="1" customWidth="1"/>
    <col min="73" max="16384" width="8.9062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6">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
      <c r="A3" s="10"/>
      <c r="B3" s="11">
        <f>IF(C3="否",G5-AT5,G5)</f>
        <v>142.19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
      <c r="A5" s="12" t="s">
        <v>1071</v>
      </c>
      <c r="B5" s="1347"/>
      <c r="C5" s="1347"/>
      <c r="D5" s="1349"/>
      <c r="E5" s="13" t="s">
        <v>0</v>
      </c>
      <c r="F5" s="13">
        <f>SUM(F13:F587)</f>
        <v>0</v>
      </c>
      <c r="G5" s="13">
        <f>SUM(G13:G587)</f>
        <v>142.19</v>
      </c>
      <c r="H5" s="13">
        <f t="shared" ref="H5:AT5" si="0">SUM(H13:H656)</f>
        <v>142.19</v>
      </c>
      <c r="I5" s="13">
        <f t="shared" si="0"/>
        <v>142.19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142.19</v>
      </c>
      <c r="BA5" s="15">
        <f t="shared" si="1"/>
        <v>142.19</v>
      </c>
      <c r="BB5" s="15">
        <f t="shared" si="1"/>
        <v>142.19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6">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6">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
      <c r="A10" s="1594"/>
      <c r="B10" s="1594"/>
      <c r="C10" s="1594"/>
      <c r="D10" s="1594"/>
      <c r="E10" s="1594"/>
      <c r="F10" s="1594"/>
      <c r="G10" s="1070"/>
      <c r="H10" s="25"/>
      <c r="I10" s="1603" t="s">
        <v>3378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平层住宅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5">
      <c r="A13" s="1051"/>
      <c r="B13" s="1051"/>
      <c r="C13" s="1051"/>
      <c r="D13" s="1625" t="s">
        <v>3383</v>
      </c>
      <c r="E13" s="13">
        <f>IF($C$3="是",ROUND($A$3*G13/$B$3,2),ROUND($A$3*(G13-AT13)/$B$3,2))</f>
        <v>0</v>
      </c>
      <c r="F13" s="29"/>
      <c r="G13" s="30">
        <f>H13+AC13+AT13</f>
        <v>142.19</v>
      </c>
      <c r="H13" s="17">
        <f>SUMIF(I$12:AB$12,"总值",I13:AB13)</f>
        <v>142.19</v>
      </c>
      <c r="I13" s="1626">
        <v>142.19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142.19</v>
      </c>
      <c r="BA13" s="13">
        <f>SUM(BB13:BK13)</f>
        <v>142.19</v>
      </c>
      <c r="BB13" s="13">
        <f>IF($D13="是",I13-J13,0)</f>
        <v>142.19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I14" sqref="I14"/>
    </sheetView>
  </sheetViews>
  <sheetFormatPr defaultColWidth="9.26953125" defaultRowHeight="14"/>
  <cols>
    <col min="1" max="1" width="12.08984375" style="1638" customWidth="1"/>
    <col min="2" max="2" width="10.26953125" style="1638" customWidth="1"/>
    <col min="3" max="3" width="18.453125" style="1638" customWidth="1"/>
    <col min="4" max="4" width="11.6328125" style="1638" customWidth="1"/>
    <col min="5" max="5" width="13.36328125" style="1638" customWidth="1"/>
    <col min="6" max="8" width="11.453125" style="1638" customWidth="1"/>
    <col min="9" max="9" width="11.08984375" style="1638" customWidth="1"/>
    <col min="10" max="10" width="3.08984375" style="2647" customWidth="1"/>
    <col min="11" max="16" width="10" style="1638" customWidth="1"/>
    <col min="17" max="17" width="2.6328125" style="1638" customWidth="1"/>
    <col min="18" max="18" width="9.36328125" style="1638" bestFit="1" customWidth="1"/>
    <col min="19" max="19" width="10.453125" style="1638" bestFit="1" customWidth="1"/>
    <col min="20" max="16384" width="9.26953125" style="1638"/>
  </cols>
  <sheetData>
    <row r="1" spans="1:16" ht="18.5" thickBot="1">
      <c r="A1" s="1637" t="s">
        <v>1130</v>
      </c>
      <c r="B1" s="1139"/>
      <c r="C1" s="1139"/>
      <c r="D1" s="1139"/>
      <c r="E1" s="1139"/>
      <c r="F1" s="1139"/>
      <c r="G1" s="1139"/>
      <c r="H1" s="1139"/>
      <c r="I1" s="1139"/>
      <c r="J1" s="1139"/>
      <c r="K1" s="1139"/>
      <c r="L1" s="1139"/>
      <c r="M1" s="1139"/>
      <c r="N1" s="1139"/>
      <c r="O1" s="1139"/>
      <c r="P1" s="1139"/>
    </row>
    <row r="2" spans="1:16">
      <c r="A2" s="3555" t="s">
        <v>1131</v>
      </c>
      <c r="B2" s="3555"/>
      <c r="C2" s="3555"/>
      <c r="D2" s="796" t="s">
        <v>1107</v>
      </c>
      <c r="E2" s="1639" t="s">
        <v>1108</v>
      </c>
      <c r="F2" s="2657"/>
      <c r="G2" s="2648"/>
      <c r="H2" s="2649"/>
      <c r="I2" s="2323" t="s">
        <v>1132</v>
      </c>
      <c r="J2" s="2657"/>
      <c r="K2" s="2657"/>
      <c r="L2" s="2657"/>
      <c r="M2" s="2657"/>
      <c r="N2" s="2659"/>
      <c r="O2" s="2657"/>
      <c r="P2" s="2657"/>
    </row>
    <row r="3" spans="1:16" ht="14.5" thickBot="1">
      <c r="A3" s="3556" t="s">
        <v>1105</v>
      </c>
      <c r="B3" s="3556"/>
      <c r="C3" s="3556"/>
      <c r="D3" s="43">
        <f>'数据-基础表'!AY6</f>
        <v>0</v>
      </c>
      <c r="E3" s="43">
        <f>'数据-基础表'!AZ5</f>
        <v>142.19</v>
      </c>
      <c r="F3" s="2657"/>
      <c r="G3" s="1145"/>
      <c r="H3" s="1026" t="s">
        <v>1106</v>
      </c>
      <c r="I3" s="855" t="e">
        <f>ROUND('数据-基础表'!B3/'数据-基础表'!A3,2)</f>
        <v>#DIV/0!</v>
      </c>
      <c r="J3" s="2657"/>
      <c r="K3" s="2657"/>
      <c r="L3" s="2657"/>
      <c r="M3" s="2657"/>
      <c r="N3" s="2659"/>
      <c r="O3" s="2657"/>
      <c r="P3" s="2657"/>
    </row>
    <row r="4" spans="1:16">
      <c r="A4" s="3557"/>
      <c r="B4" s="3558"/>
      <c r="C4" s="3559"/>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60" t="s">
        <v>1110</v>
      </c>
      <c r="C5" s="3560"/>
      <c r="D5" s="45">
        <f>ROUND($D$3*E5/$E$3,2)</f>
        <v>0</v>
      </c>
      <c r="E5" s="46">
        <f>SUMIF('数据-基础表'!$11:$11,"住宅",'数据-基础表'!$5:$5)</f>
        <v>142.19</v>
      </c>
      <c r="F5" s="2657"/>
      <c r="G5" s="1145"/>
      <c r="H5" s="1026" t="s">
        <v>1106</v>
      </c>
      <c r="I5" s="855" t="e">
        <f>ROUND(E31/D31,2)</f>
        <v>#DIV/0!</v>
      </c>
      <c r="J5" s="2657"/>
      <c r="K5" s="2657"/>
      <c r="L5" s="2657"/>
      <c r="M5" s="2657"/>
      <c r="N5" s="2657"/>
      <c r="O5" s="2657"/>
      <c r="P5" s="2657"/>
    </row>
    <row r="6" spans="1:16" ht="14.5" thickBot="1">
      <c r="A6" s="1644"/>
      <c r="B6" s="3560" t="s">
        <v>1111</v>
      </c>
      <c r="C6" s="3560"/>
      <c r="D6" s="45">
        <f>ROUND($D$3*E6/$E$3,2)</f>
        <v>0</v>
      </c>
      <c r="E6" s="46">
        <f>E3-E5</f>
        <v>0</v>
      </c>
      <c r="F6" s="2657"/>
      <c r="G6" s="2651" t="s">
        <v>1112</v>
      </c>
      <c r="H6" s="1146" t="s">
        <v>1113</v>
      </c>
      <c r="I6" s="2652" t="e">
        <f>ROUND(F31/D31,2)</f>
        <v>#DIV/0!</v>
      </c>
      <c r="J6" s="2657"/>
      <c r="K6" s="2657"/>
      <c r="L6" s="2657"/>
      <c r="M6" s="2657"/>
      <c r="N6" s="2657"/>
      <c r="O6" s="2657"/>
      <c r="P6" s="2657"/>
    </row>
    <row r="7" spans="1:16" ht="14.5" thickBot="1">
      <c r="A7" s="3552"/>
      <c r="B7" s="3553"/>
      <c r="C7" s="3554"/>
      <c r="D7" s="1641" t="s">
        <v>1107</v>
      </c>
      <c r="E7" s="1645" t="s">
        <v>1114</v>
      </c>
      <c r="F7" s="2657"/>
      <c r="G7" s="2653" t="s">
        <v>1115</v>
      </c>
      <c r="H7" s="2654"/>
      <c r="I7" s="2655">
        <v>2.8</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142.19</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4.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4.5" thickBot="1">
      <c r="A16" s="1644"/>
      <c r="B16" s="1647"/>
      <c r="C16" s="47" t="s">
        <v>1123</v>
      </c>
      <c r="D16" s="47">
        <f>SUM(D8:D15)</f>
        <v>0</v>
      </c>
      <c r="E16" s="50">
        <f>SUM(E8:E15)</f>
        <v>142.19</v>
      </c>
      <c r="F16" s="2657"/>
      <c r="G16" s="2658"/>
      <c r="H16" s="1648" t="s">
        <v>1135</v>
      </c>
      <c r="I16" s="1649"/>
      <c r="J16" s="1139"/>
      <c r="K16" s="3549" t="s">
        <v>1135</v>
      </c>
      <c r="L16" s="3550"/>
      <c r="M16" s="3550"/>
      <c r="N16" s="3550"/>
      <c r="O16" s="3550"/>
      <c r="P16" s="3551"/>
    </row>
    <row r="17" spans="1:19">
      <c r="A17" s="1650" t="s">
        <v>1136</v>
      </c>
      <c r="B17" s="1651" t="s">
        <v>1137</v>
      </c>
      <c r="C17" s="1652" t="s">
        <v>1138</v>
      </c>
      <c r="D17" s="1653" t="s">
        <v>1126</v>
      </c>
      <c r="E17" s="1654" t="s">
        <v>1127</v>
      </c>
      <c r="F17" s="1655"/>
      <c r="G17" s="1656"/>
      <c r="H17" s="1657" t="s">
        <v>1139</v>
      </c>
      <c r="I17" s="1658" t="s">
        <v>1124</v>
      </c>
      <c r="J17" s="1139"/>
      <c r="K17" s="3546" t="s">
        <v>1140</v>
      </c>
      <c r="L17" s="3547"/>
      <c r="M17" s="3548"/>
      <c r="N17" s="3546" t="s">
        <v>1141</v>
      </c>
      <c r="O17" s="3547"/>
      <c r="P17" s="3548"/>
      <c r="R17" s="1640" t="s">
        <v>1142</v>
      </c>
      <c r="S17" s="56"/>
    </row>
    <row r="18" spans="1:19">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3390</v>
      </c>
      <c r="D19" s="45">
        <f>ROUND($D$3*E19/$E$3,2)</f>
        <v>0</v>
      </c>
      <c r="E19" s="53">
        <f t="shared" ref="E19:E26" si="1">SUM(F19:G19)</f>
        <v>142.19</v>
      </c>
      <c r="F19" s="2793">
        <f>'数据-基础表'!I13</f>
        <v>142.19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142.19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4.5" thickBot="1">
      <c r="A27" s="1670"/>
      <c r="B27" s="45"/>
      <c r="C27" s="1673" t="s">
        <v>1154</v>
      </c>
      <c r="D27" s="1140">
        <f>SUM(D19:D26)</f>
        <v>0</v>
      </c>
      <c r="E27" s="1141">
        <f>IF(SUM(E19:E26)='数据-基础表'!BA5,SUM(E19:E26),IF(F27="地上面积有误","面积有误","地下面积有误"))</f>
        <v>142.19</v>
      </c>
      <c r="F27" s="1140">
        <f>IF(SUM(F19:F26)=E8,SUM(F19:F26),"地上面积有误")</f>
        <v>142.19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142.19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4.5" thickBot="1">
      <c r="A31" s="1676"/>
      <c r="B31" s="1677"/>
      <c r="C31" s="835" t="s">
        <v>1158</v>
      </c>
      <c r="D31" s="676">
        <f>D27+D30</f>
        <v>0</v>
      </c>
      <c r="E31" s="676">
        <f>E27+E30</f>
        <v>142.19</v>
      </c>
      <c r="F31" s="677">
        <f>F27+F30</f>
        <v>142.19</v>
      </c>
      <c r="G31" s="678">
        <f>G27+G30</f>
        <v>0</v>
      </c>
      <c r="H31" s="2657"/>
      <c r="I31" s="2657"/>
      <c r="J31" s="2657"/>
      <c r="K31" s="2657"/>
      <c r="L31" s="2657"/>
      <c r="M31" s="2657"/>
      <c r="N31" s="2657"/>
      <c r="O31" s="2657"/>
      <c r="P31" s="2657"/>
    </row>
    <row r="32" spans="1:19">
      <c r="A32" s="1643"/>
      <c r="B32" s="1643" t="s">
        <v>1159</v>
      </c>
      <c r="C32" s="1643"/>
      <c r="D32" s="1643"/>
      <c r="E32" s="1053">
        <f>SUMIF(C19:C26,"*住宅*",E19:E26)</f>
        <v>142.19</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12" activePane="bottomRight" state="frozen"/>
      <selection activeCell="C50" sqref="C50"/>
      <selection pane="topRight" activeCell="C50" sqref="C50"/>
      <selection pane="bottomLeft" activeCell="C50" sqref="C50"/>
      <selection pane="bottomRight" activeCell="B20" sqref="B20"/>
    </sheetView>
  </sheetViews>
  <sheetFormatPr defaultColWidth="13.7265625" defaultRowHeight="12.5"/>
  <cols>
    <col min="1" max="1" width="20.90625" style="1745" customWidth="1"/>
    <col min="2" max="2" width="12" style="1682" customWidth="1"/>
    <col min="3" max="3" width="12.7265625" style="1682" customWidth="1"/>
    <col min="4" max="4" width="9.08984375" style="1746" customWidth="1"/>
    <col min="5" max="5" width="15" style="1682" bestFit="1" customWidth="1"/>
    <col min="6" max="10" width="8.90625" style="1682" customWidth="1"/>
    <col min="11" max="12" width="12.36328125" style="1601" customWidth="1"/>
    <col min="13" max="13" width="8.6328125" style="1682" customWidth="1"/>
    <col min="14" max="14" width="11.90625" style="1682" customWidth="1"/>
    <col min="15" max="15" width="8.453125" style="1682" customWidth="1"/>
    <col min="16" max="17" width="10.90625" style="1682" customWidth="1"/>
    <col min="18" max="19" width="12.453125" style="1682" customWidth="1"/>
    <col min="20" max="20" width="12.08984375" style="1682" customWidth="1"/>
    <col min="21" max="21" width="7.453125" style="1682" customWidth="1"/>
    <col min="22" max="22" width="6.36328125" style="1682" customWidth="1"/>
    <col min="23" max="30" width="6.7265625" style="1682" customWidth="1"/>
    <col min="31" max="31" width="8" style="1682" customWidth="1"/>
    <col min="32" max="34" width="7.26953125" style="1682" customWidth="1"/>
    <col min="35" max="39" width="8" style="1682" customWidth="1"/>
    <col min="40" max="40" width="13.7265625" style="1681"/>
    <col min="41" max="41" width="11.6328125" style="1681" customWidth="1"/>
    <col min="42" max="42" width="9.7265625" style="1681" customWidth="1"/>
    <col min="43" max="67" width="13.7265625" style="1681"/>
    <col min="68" max="16384" width="13.726562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45072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4.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3">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
      <c r="A6" s="1712" t="str">
        <f>'数据-汇总表'!C19</f>
        <v>住宅</v>
      </c>
      <c r="B6" s="1713" t="str">
        <f>IF(A6=0,"","经营性")</f>
        <v>经营性</v>
      </c>
      <c r="C6" s="1714" t="s">
        <v>3378</v>
      </c>
      <c r="D6" s="858">
        <f>SUMIF(项目基本情况!C$12:I$12,C6,项目基本情况!C$14:I$14)</f>
        <v>70</v>
      </c>
      <c r="E6" s="857">
        <f>IF(B6="","",SUMIF(项目基本情况!C$12:I$12,C6,项目基本情况!C$13:I$13))</f>
        <v>60405</v>
      </c>
      <c r="F6" s="64">
        <f>SUMIF(项目基本情况!C$12:I$12,C6,项目基本情况!C$15:I$15)</f>
        <v>42</v>
      </c>
      <c r="G6" s="65">
        <f>IF(ISERROR(ROUND(POWER(1+H6,D6-F6)*(POWER(1+H6,F6)-1)/(POWER(1+H6,D6)-1),3)),0,ROUND(POWER(1+H6,D6-F6)*(POWER(1+H6,F6)-1)/(POWER(1+H6,D6)-1),3))</f>
        <v>0.88300000000000001</v>
      </c>
      <c r="H6" s="732">
        <v>4.4999999999999998E-2</v>
      </c>
      <c r="I6" s="732">
        <v>4.4999999999999998E-2</v>
      </c>
      <c r="J6" s="66">
        <v>6.5000000000000002E-2</v>
      </c>
      <c r="K6" s="1030">
        <f>SUMIF('数据-汇总表'!C$19:C$33,A6,'数据-汇总表'!E$19:E$33)</f>
        <v>142.19</v>
      </c>
      <c r="L6" s="3456">
        <v>4000</v>
      </c>
      <c r="M6" s="67">
        <f t="shared" ref="M6:M14" si="0">ROUND(K6*L6/10000,0)</f>
        <v>57</v>
      </c>
      <c r="N6" s="731">
        <v>0.63500000000000001</v>
      </c>
      <c r="O6" s="67" t="str">
        <f>IF($N$5="成新度","——",ROUND(M6*N6,0))</f>
        <v>——</v>
      </c>
      <c r="P6" s="68" t="str">
        <f>IF($N$5="成新度","——",M6-O6)</f>
        <v>——</v>
      </c>
      <c r="Q6" s="734">
        <v>0.3</v>
      </c>
      <c r="R6" s="69">
        <f ca="1">SUMIF('数据-汇总表'!C$19:C$33,A6,'数据-汇总表'!R$19:R$27)</f>
        <v>0</v>
      </c>
      <c r="S6" s="51">
        <f>IF('数据-汇总表'!$I$17="按面积比例",SUMIF('数据-汇总表'!C$19:C$33,A6,'数据-汇总表'!K$19:K$33),SUMIF('数据-汇总表'!C$19:C$33,A6,'数据-汇总表'!N$19:N$33))</f>
        <v>0</v>
      </c>
      <c r="T6" s="1172">
        <f>ROUND($L$14*S6/10000,0)</f>
        <v>0</v>
      </c>
      <c r="U6" s="3426">
        <v>15000</v>
      </c>
      <c r="V6" s="70">
        <v>0.02</v>
      </c>
      <c r="W6" s="70">
        <v>0.1</v>
      </c>
      <c r="X6" s="1040"/>
      <c r="Y6" s="71">
        <f>N6</f>
        <v>0.63500000000000001</v>
      </c>
      <c r="Z6" s="72"/>
      <c r="AA6" s="66"/>
      <c r="AB6" s="66"/>
      <c r="AC6" s="1040"/>
      <c r="AD6" s="73"/>
      <c r="AE6" s="1041">
        <f ca="1">IF(AN6="",0,SUMIF(INDIRECT("'"&amp;AN6&amp;"'"&amp;"!E:E"),$AE$5,INDIRECT("'"&amp;AN6&amp;"'"&amp;"!F:F")))</f>
        <v>42</v>
      </c>
      <c r="AF6" s="1348"/>
      <c r="AG6" s="138">
        <f>IF(AF6="",0,AE6-AF6)</f>
        <v>0</v>
      </c>
      <c r="AH6" s="74">
        <v>1</v>
      </c>
      <c r="AI6" s="76">
        <v>12</v>
      </c>
      <c r="AJ6" s="77"/>
      <c r="AK6" s="78">
        <v>0.01</v>
      </c>
      <c r="AL6" s="79">
        <v>1E-3</v>
      </c>
      <c r="AM6" s="80">
        <v>0.02</v>
      </c>
      <c r="AN6" s="1715" t="s">
        <v>3397</v>
      </c>
      <c r="AO6" s="52">
        <f ca="1">SUMIF(INDIRECT("'"&amp;AN6&amp;"'"&amp;"!A:A"),"总价",INDIRECT("'"&amp;AN6&amp;"'"&amp;"!B:B"))</f>
        <v>369.59309999999999</v>
      </c>
      <c r="AP6" s="1716">
        <f>IF(C6="住宅",K6*L6,0)</f>
        <v>568760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4.5" thickBot="1">
      <c r="A16" s="1719" t="s">
        <v>1209</v>
      </c>
      <c r="B16" s="88"/>
      <c r="C16" s="833"/>
      <c r="D16" s="1720"/>
      <c r="E16" s="88"/>
      <c r="F16" s="88"/>
      <c r="G16" s="89">
        <f>ROUND(SUMPRODUCT(G6:G13,K6:K13)/SUMPRODUCT((G6:G13&gt;0)*(K6:K13)),3)</f>
        <v>0.88300000000000001</v>
      </c>
      <c r="H16" s="90">
        <f>ROUND(SUMPRODUCT(H6:H13,K6:K13)/SUMPRODUCT((H6:H13&gt;0)*(K6:K13)),3)</f>
        <v>4.4999999999999998E-2</v>
      </c>
      <c r="I16" s="91"/>
      <c r="J16" s="91"/>
      <c r="K16" s="92">
        <f>SUM(K6:K15)</f>
        <v>142.19</v>
      </c>
      <c r="L16" s="93">
        <f>ROUND(M16*10000/SUM(K6:K14),0)</f>
        <v>4009</v>
      </c>
      <c r="M16" s="93">
        <f>SUM(M6:M14)</f>
        <v>57</v>
      </c>
      <c r="N16" s="94">
        <f>ROUND(SUMPRODUCT(M6:M14,N6:N14)/M16,3)</f>
        <v>0.63500000000000001</v>
      </c>
      <c r="O16" s="93">
        <f>SUM(O6:O14)</f>
        <v>0</v>
      </c>
      <c r="P16" s="93">
        <f>SUM(P6:P14)</f>
        <v>0</v>
      </c>
      <c r="Q16" s="95">
        <f>ROUND(SUMPRODUCT(Q6:Q13,K6:K13)/SUMPRODUCT((Q6:Q13&gt;0)*(K6:K13)),2)</f>
        <v>0.3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4.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
      <c r="A19" s="1722" t="s">
        <v>1211</v>
      </c>
      <c r="B19" s="103">
        <v>0</v>
      </c>
      <c r="C19" s="2797" t="s">
        <v>2305</v>
      </c>
      <c r="D19" s="2674"/>
      <c r="E19" s="2671"/>
      <c r="F19" s="2671"/>
      <c r="G19" s="2671"/>
      <c r="H19" s="2671"/>
      <c r="I19" s="2671"/>
      <c r="J19" s="2671"/>
      <c r="K19" s="2670"/>
      <c r="L19" s="2670"/>
      <c r="M19" s="2669"/>
      <c r="N19" s="2669"/>
      <c r="O19" s="2669"/>
      <c r="P19" s="2669"/>
      <c r="Q19" s="2669"/>
      <c r="R19" s="2669"/>
      <c r="S19" s="2669"/>
      <c r="T19" s="2669"/>
      <c r="U19" s="2669"/>
      <c r="V19" s="2669">
        <f>U6*V6</f>
        <v>300</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
      <c r="A20" s="1723" t="s">
        <v>1212</v>
      </c>
      <c r="B20" s="104">
        <v>2</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
      <c r="A21" s="1724" t="s">
        <v>1213</v>
      </c>
      <c r="B21" s="104">
        <v>2</v>
      </c>
      <c r="C21" s="2671"/>
      <c r="D21" s="2674"/>
      <c r="E21" s="2671"/>
      <c r="F21" s="2671"/>
      <c r="G21" s="2671"/>
      <c r="H21" s="2671"/>
      <c r="I21" s="2671"/>
      <c r="J21" s="2671"/>
      <c r="K21" s="2670"/>
      <c r="L21" s="2670">
        <v>1997</v>
      </c>
      <c r="M21" s="2669">
        <f>ROUND(1-(2023-L21)/60,2)</f>
        <v>0.56999999999999995</v>
      </c>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
      <c r="A22" s="1723" t="s">
        <v>1214</v>
      </c>
      <c r="B22" s="105">
        <f>B19+B20</f>
        <v>2</v>
      </c>
      <c r="C22" s="2671"/>
      <c r="D22" s="2674"/>
      <c r="E22" s="2671"/>
      <c r="F22" s="2671"/>
      <c r="G22" s="2671"/>
      <c r="H22" s="2671"/>
      <c r="I22" s="2671"/>
      <c r="J22" s="2671"/>
      <c r="K22" s="2670"/>
      <c r="L22" s="2670"/>
      <c r="M22" s="2669">
        <v>0.7</v>
      </c>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4.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4.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5">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 thickBot="1">
      <c r="A29" s="1730" t="s">
        <v>1222</v>
      </c>
      <c r="B29" s="112">
        <f ca="1">'成本法 (元)'!C9</f>
        <v>22750</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8.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
      <c r="A34" s="1729" t="s">
        <v>1227</v>
      </c>
      <c r="B34" s="113">
        <v>0.05</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4.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8.5" thickBot="1">
      <c r="A40" s="2813" t="s">
        <v>3393</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4.5" thickBot="1">
      <c r="A47" s="1735"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4.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4.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686" customWidth="1"/>
    <col min="2" max="2" width="24.453125" style="1572" customWidth="1"/>
    <col min="3" max="3" width="24.453125" style="2508" customWidth="1"/>
    <col min="4" max="4" width="2.6328125" style="2508" customWidth="1"/>
    <col min="5" max="5" width="5.90625" style="2508" customWidth="1"/>
    <col min="6" max="6" width="27" style="1572" customWidth="1"/>
    <col min="7" max="7" width="27" style="2509" customWidth="1"/>
    <col min="8" max="8" width="11.90625" style="2489" customWidth="1"/>
    <col min="9" max="9" width="16.7265625" style="2490" customWidth="1"/>
    <col min="10" max="10" width="2.6328125" style="2489" customWidth="1"/>
    <col min="11" max="11" width="11.90625" style="2489" customWidth="1"/>
    <col min="12" max="12" width="16.7265625" style="2490" customWidth="1"/>
    <col min="13" max="13" width="2.6328125" style="2489" customWidth="1"/>
    <col min="14" max="14" width="11.90625" style="2489" customWidth="1"/>
    <col min="15" max="15" width="16.7265625" style="2490" customWidth="1"/>
    <col min="16" max="16" width="2.6328125" style="2489" customWidth="1"/>
    <col min="17" max="17" width="11.90625" style="2489" customWidth="1"/>
    <col min="18" max="18" width="16.7265625" style="2491" customWidth="1"/>
    <col min="19" max="29" width="9" style="799"/>
    <col min="30" max="16384" width="9" style="1686"/>
  </cols>
  <sheetData>
    <row r="1" spans="1:29" s="2455" customFormat="1" ht="18.5" thickBot="1">
      <c r="A1" s="3561" t="s">
        <v>2286</v>
      </c>
      <c r="B1" s="3562"/>
      <c r="C1" s="3562"/>
      <c r="D1" s="3562"/>
      <c r="E1" s="3562"/>
      <c r="F1" s="3562"/>
      <c r="G1" s="356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5" thickBot="1">
      <c r="A2" s="2456"/>
      <c r="B2" s="2457"/>
      <c r="C2" s="2458" t="s">
        <v>2281</v>
      </c>
      <c r="D2" s="2459"/>
      <c r="E2" s="2456"/>
      <c r="F2" s="2460"/>
      <c r="G2" s="2458" t="s">
        <v>2282</v>
      </c>
      <c r="H2" s="799"/>
      <c r="I2" s="799"/>
      <c r="J2" s="799"/>
      <c r="K2" s="799"/>
      <c r="L2" s="799"/>
      <c r="M2" s="799"/>
      <c r="N2" s="799"/>
      <c r="O2" s="799"/>
      <c r="P2" s="799"/>
      <c r="Q2" s="799"/>
      <c r="R2" s="799"/>
    </row>
    <row r="3" spans="1:29" ht="52">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9">
      <c r="A4" s="2440"/>
      <c r="B4" s="323" t="s">
        <v>2254</v>
      </c>
      <c r="C4" s="2466" t="s">
        <v>2255</v>
      </c>
      <c r="D4" s="2463"/>
      <c r="E4" s="2467"/>
      <c r="F4" s="1373" t="s">
        <v>2256</v>
      </c>
      <c r="G4" s="2468" t="s">
        <v>2257</v>
      </c>
      <c r="H4" s="799"/>
      <c r="I4" s="799"/>
      <c r="J4" s="799"/>
      <c r="K4" s="799"/>
      <c r="L4" s="799"/>
      <c r="M4" s="799"/>
      <c r="N4" s="799"/>
      <c r="O4" s="799"/>
      <c r="P4" s="799"/>
      <c r="Q4" s="799"/>
      <c r="R4" s="799"/>
    </row>
    <row r="5" spans="1:29" ht="39">
      <c r="A5" s="2440"/>
      <c r="B5" s="323" t="s">
        <v>2258</v>
      </c>
      <c r="C5" s="2466" t="s">
        <v>2259</v>
      </c>
      <c r="D5" s="2463"/>
      <c r="E5" s="2467"/>
      <c r="F5" s="323" t="s">
        <v>2260</v>
      </c>
      <c r="G5" s="2468" t="s">
        <v>2261</v>
      </c>
      <c r="H5" s="799"/>
      <c r="I5" s="799"/>
      <c r="J5" s="799"/>
      <c r="K5" s="799"/>
      <c r="L5" s="799"/>
      <c r="M5" s="799"/>
      <c r="N5" s="799"/>
      <c r="O5" s="799"/>
      <c r="P5" s="799"/>
      <c r="Q5" s="799"/>
      <c r="R5" s="799"/>
    </row>
    <row r="6" spans="1:29" ht="39">
      <c r="A6" s="2440"/>
      <c r="B6" s="323" t="s">
        <v>2262</v>
      </c>
      <c r="C6" s="2468" t="s">
        <v>2257</v>
      </c>
      <c r="D6" s="2463"/>
      <c r="E6" s="2467"/>
      <c r="F6" s="323" t="s">
        <v>2263</v>
      </c>
      <c r="G6" s="2468" t="s">
        <v>2264</v>
      </c>
      <c r="H6" s="799"/>
      <c r="I6" s="799"/>
      <c r="J6" s="799"/>
      <c r="K6" s="799"/>
      <c r="L6" s="799"/>
      <c r="M6" s="799"/>
      <c r="N6" s="799"/>
      <c r="O6" s="799"/>
      <c r="P6" s="799"/>
      <c r="Q6" s="799"/>
      <c r="R6" s="799"/>
    </row>
    <row r="7" spans="1:29" ht="39.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6">
      <c r="A8" s="2440"/>
      <c r="B8" s="323" t="s">
        <v>2263</v>
      </c>
      <c r="C8" s="2468" t="s">
        <v>2264</v>
      </c>
      <c r="D8" s="2469"/>
      <c r="E8" s="2469"/>
      <c r="F8" s="2473"/>
      <c r="G8" s="2473"/>
      <c r="H8" s="799"/>
      <c r="I8" s="799"/>
      <c r="J8" s="799"/>
      <c r="K8" s="799"/>
      <c r="L8" s="799"/>
      <c r="M8" s="799"/>
      <c r="N8" s="799"/>
      <c r="O8" s="799"/>
      <c r="P8" s="799"/>
      <c r="Q8" s="799"/>
      <c r="R8" s="799"/>
    </row>
    <row r="9" spans="1:29" ht="26">
      <c r="A9" s="2440"/>
      <c r="B9" s="323" t="s">
        <v>2267</v>
      </c>
      <c r="C9" s="2466" t="s">
        <v>2268</v>
      </c>
      <c r="D9" s="2463"/>
      <c r="E9" s="2469"/>
      <c r="F9" s="2473"/>
      <c r="G9" s="2473"/>
      <c r="H9" s="799"/>
      <c r="I9" s="799"/>
      <c r="J9" s="799"/>
      <c r="K9" s="799"/>
      <c r="L9" s="799"/>
      <c r="M9" s="799"/>
      <c r="N9" s="799"/>
      <c r="O9" s="799"/>
      <c r="P9" s="799"/>
      <c r="Q9" s="799"/>
      <c r="R9" s="799"/>
    </row>
    <row r="10" spans="1:29" s="2479" customFormat="1" ht="14.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4.5" thickBot="1">
      <c r="A13" s="2488" t="s">
        <v>2287</v>
      </c>
      <c r="B13" s="2482"/>
      <c r="C13" s="2482"/>
      <c r="D13" s="2480"/>
      <c r="E13" s="2482"/>
      <c r="F13" s="2482"/>
      <c r="G13" s="2482"/>
    </row>
    <row r="14" spans="1:29" ht="14.5" thickBot="1">
      <c r="A14" s="2492"/>
      <c r="B14" s="2492"/>
      <c r="C14" s="2493" t="s">
        <v>2270</v>
      </c>
      <c r="D14" s="2463"/>
      <c r="E14" s="2494"/>
      <c r="F14" s="2494"/>
      <c r="G14" s="2458" t="s">
        <v>2271</v>
      </c>
    </row>
    <row r="15" spans="1:29" ht="50">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7.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7.5">
      <c r="A17" s="2444"/>
      <c r="B17" s="2498" t="s">
        <v>2258</v>
      </c>
      <c r="C17" s="2499" t="str">
        <f>C5</f>
        <v>估价对象位于XX商圈，周边办公楼项目较多，入驻率高，办公集聚程度较好</v>
      </c>
      <c r="D17" s="2469"/>
      <c r="E17" s="2445"/>
      <c r="F17" s="2500" t="s">
        <v>2275</v>
      </c>
      <c r="G17" s="2502"/>
    </row>
    <row r="18" spans="1:18" ht="37.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
      <c r="A19" s="2444"/>
      <c r="B19" s="2500" t="s">
        <v>2276</v>
      </c>
      <c r="C19" s="2502"/>
      <c r="D19" s="2463"/>
      <c r="E19" s="2445"/>
      <c r="F19" s="323" t="s">
        <v>2260</v>
      </c>
      <c r="G19" s="2501" t="str">
        <f>G5</f>
        <v>估价对象所在区域公共配套设施齐备情况</v>
      </c>
    </row>
    <row r="20" spans="1:18" ht="25">
      <c r="A20" s="2444"/>
      <c r="B20" s="2500" t="s">
        <v>2277</v>
      </c>
      <c r="C20" s="2499" t="str">
        <f>C9</f>
        <v>区域自然环境：；人文环境；综合评价环境状况一般</v>
      </c>
      <c r="D20" s="2469"/>
      <c r="E20" s="2445"/>
      <c r="F20" s="323" t="s">
        <v>2263</v>
      </c>
      <c r="G20" s="2501" t="str">
        <f>G6</f>
        <v>估价对象所在区域基础设施水平</v>
      </c>
    </row>
    <row r="21" spans="1:18" ht="2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
  <cols>
    <col min="1" max="1" width="25" style="2511" customWidth="1"/>
    <col min="2" max="9" width="15.7265625" style="2511" customWidth="1"/>
    <col min="10" max="16384" width="9" style="2511"/>
  </cols>
  <sheetData>
    <row r="1" spans="1:11" ht="16.5">
      <c r="A1" s="2510" t="s">
        <v>665</v>
      </c>
      <c r="B1" s="2510">
        <f>SUM(B14:B23)</f>
        <v>142.19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45072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1161.3083999999999</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3361</v>
      </c>
      <c r="D10" s="2510" t="s">
        <v>3362</v>
      </c>
      <c r="E10" s="3439"/>
      <c r="F10" s="3443" t="s">
        <v>3363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142.19</v>
      </c>
      <c r="C14" s="2516"/>
      <c r="D14" s="2516">
        <f ca="1">ROUND(E14*B14/10000,4)</f>
        <v>1161.3083999999999</v>
      </c>
      <c r="E14" s="2516">
        <f ca="1">结果表!G20</f>
        <v>81673</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G11" sqref="G11"/>
    </sheetView>
  </sheetViews>
  <sheetFormatPr defaultColWidth="12.6328125" defaultRowHeight="21.75" customHeight="1"/>
  <cols>
    <col min="1" max="2" width="12.6328125" style="1753"/>
    <col min="3" max="4" width="12.6328125" style="1753" customWidth="1"/>
    <col min="5" max="9" width="12.6328125" style="1753"/>
    <col min="10" max="11" width="12.6328125" style="725" customWidth="1"/>
    <col min="12" max="12" width="12.6328125" style="725"/>
    <col min="13" max="13" width="14.08984375" style="725" bestFit="1" customWidth="1"/>
    <col min="14" max="26" width="12.6328125" style="725"/>
    <col min="27" max="35" width="12.6328125" style="1752"/>
    <col min="36" max="16384" width="12.63281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0" t="str">
        <f>项目基本情况!S2</f>
        <v>北京市房地产</v>
      </c>
      <c r="B2" s="3631"/>
      <c r="C2" s="3631"/>
      <c r="D2" s="3631"/>
      <c r="E2" s="3631"/>
      <c r="F2" s="3631"/>
      <c r="G2" s="3631"/>
      <c r="H2" s="3631"/>
      <c r="I2" s="3632"/>
    </row>
    <row r="3" spans="1:12" ht="13">
      <c r="A3" s="3634" t="s">
        <v>1264</v>
      </c>
      <c r="B3" s="3635"/>
      <c r="C3" s="3635"/>
      <c r="D3" s="3635"/>
      <c r="E3" s="3635"/>
      <c r="F3" s="3635"/>
      <c r="G3" s="3635"/>
      <c r="H3" s="3635"/>
      <c r="I3" s="3635"/>
    </row>
    <row r="4" spans="1:12" ht="14">
      <c r="A4" s="1754" t="s">
        <v>1265</v>
      </c>
      <c r="B4" s="1755" t="s">
        <v>1266</v>
      </c>
      <c r="C4" s="1756" t="s">
        <v>3421</v>
      </c>
      <c r="D4" s="1756" t="s">
        <v>3420</v>
      </c>
      <c r="E4" s="3639" t="s">
        <v>1267</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
      <c r="A5" s="3578" t="s">
        <v>1268</v>
      </c>
      <c r="B5" s="3633">
        <v>25</v>
      </c>
      <c r="C5" s="3636">
        <v>20</v>
      </c>
      <c r="D5" s="3624">
        <v>8</v>
      </c>
      <c r="E5" s="131" t="s">
        <v>1269</v>
      </c>
      <c r="F5" s="1757"/>
      <c r="G5" s="1757"/>
      <c r="H5" s="1757"/>
      <c r="I5" s="1373"/>
    </row>
    <row r="6" spans="1:12" ht="13">
      <c r="A6" s="3578"/>
      <c r="B6" s="3633"/>
      <c r="C6" s="3638"/>
      <c r="D6" s="3624"/>
      <c r="E6" s="131" t="s">
        <v>1270</v>
      </c>
      <c r="F6" s="1757"/>
      <c r="G6" s="1757"/>
      <c r="H6" s="1757"/>
      <c r="I6" s="1373"/>
    </row>
    <row r="7" spans="1:12" ht="13">
      <c r="A7" s="3578"/>
      <c r="B7" s="3633"/>
      <c r="C7" s="3637"/>
      <c r="D7" s="3624"/>
      <c r="E7" s="131" t="s">
        <v>1271</v>
      </c>
      <c r="F7" s="1757"/>
      <c r="G7" s="1757"/>
      <c r="H7" s="1757"/>
      <c r="I7" s="1373"/>
    </row>
    <row r="8" spans="1:12" ht="13">
      <c r="A8" s="3578" t="s">
        <v>1272</v>
      </c>
      <c r="B8" s="3633">
        <v>15</v>
      </c>
      <c r="C8" s="3636">
        <v>10</v>
      </c>
      <c r="D8" s="3624">
        <v>4</v>
      </c>
      <c r="E8" s="131" t="s">
        <v>1273</v>
      </c>
      <c r="F8" s="1757"/>
      <c r="G8" s="1757"/>
      <c r="H8" s="1757"/>
      <c r="I8" s="1373"/>
    </row>
    <row r="9" spans="1:12" ht="13">
      <c r="A9" s="3578"/>
      <c r="B9" s="3633"/>
      <c r="C9" s="3637"/>
      <c r="D9" s="3624"/>
      <c r="E9" s="131" t="s">
        <v>1274</v>
      </c>
      <c r="F9" s="1757"/>
      <c r="G9" s="1757"/>
      <c r="H9" s="1757"/>
      <c r="I9" s="1373"/>
    </row>
    <row r="10" spans="1:12" ht="13">
      <c r="A10" s="3578" t="s">
        <v>1275</v>
      </c>
      <c r="B10" s="3633">
        <v>15</v>
      </c>
      <c r="C10" s="3636">
        <v>10</v>
      </c>
      <c r="D10" s="3624">
        <v>5</v>
      </c>
      <c r="E10" s="131" t="s">
        <v>1276</v>
      </c>
      <c r="F10" s="1757"/>
      <c r="G10" s="1757"/>
      <c r="H10" s="1757"/>
      <c r="I10" s="1373"/>
    </row>
    <row r="11" spans="1:12" ht="13">
      <c r="A11" s="3578"/>
      <c r="B11" s="3633"/>
      <c r="C11" s="3637"/>
      <c r="D11" s="3624"/>
      <c r="E11" s="131" t="s">
        <v>1277</v>
      </c>
      <c r="F11" s="1757"/>
      <c r="G11" s="1757"/>
      <c r="H11" s="1757"/>
      <c r="I11" s="1373"/>
    </row>
    <row r="12" spans="1:12" ht="13">
      <c r="A12" s="3578" t="s">
        <v>1278</v>
      </c>
      <c r="B12" s="3633">
        <v>15</v>
      </c>
      <c r="C12" s="3636">
        <v>10</v>
      </c>
      <c r="D12" s="3624">
        <v>5</v>
      </c>
      <c r="E12" s="131" t="s">
        <v>1279</v>
      </c>
      <c r="F12" s="1757"/>
      <c r="G12" s="1757"/>
      <c r="H12" s="1757"/>
      <c r="I12" s="1373"/>
    </row>
    <row r="13" spans="1:12" ht="13">
      <c r="A13" s="3578"/>
      <c r="B13" s="3633"/>
      <c r="C13" s="3637"/>
      <c r="D13" s="3624"/>
      <c r="E13" s="131" t="s">
        <v>1280</v>
      </c>
      <c r="F13" s="1757"/>
      <c r="G13" s="1757"/>
      <c r="H13" s="1757"/>
      <c r="I13" s="1373"/>
    </row>
    <row r="14" spans="1:12" ht="13">
      <c r="A14" s="3578" t="s">
        <v>1281</v>
      </c>
      <c r="B14" s="3633">
        <v>30</v>
      </c>
      <c r="C14" s="3636">
        <v>25</v>
      </c>
      <c r="D14" s="3624">
        <v>10</v>
      </c>
      <c r="E14" s="131" t="s">
        <v>1282</v>
      </c>
      <c r="F14" s="1757"/>
      <c r="G14" s="1757"/>
      <c r="H14" s="1757"/>
      <c r="I14" s="1373"/>
    </row>
    <row r="15" spans="1:12" ht="13">
      <c r="A15" s="3578"/>
      <c r="B15" s="3633"/>
      <c r="C15" s="3638"/>
      <c r="D15" s="3624"/>
      <c r="E15" s="131" t="s">
        <v>1283</v>
      </c>
      <c r="F15" s="1757"/>
      <c r="G15" s="1757"/>
      <c r="H15" s="1757"/>
      <c r="I15" s="1373"/>
    </row>
    <row r="16" spans="1:12" ht="13">
      <c r="A16" s="3578"/>
      <c r="B16" s="3633"/>
      <c r="C16" s="3637"/>
      <c r="D16" s="3624"/>
      <c r="E16" s="131" t="s">
        <v>1284</v>
      </c>
      <c r="F16" s="1757"/>
      <c r="G16" s="1757"/>
      <c r="H16" s="1757"/>
      <c r="I16" s="1373"/>
    </row>
    <row r="17" spans="1:36" ht="14">
      <c r="A17" s="1758" t="s">
        <v>1285</v>
      </c>
      <c r="B17" s="56"/>
      <c r="C17" s="132">
        <f>SUM(C5:C16)</f>
        <v>75</v>
      </c>
      <c r="D17" s="132">
        <f>SUM(D5:D16)</f>
        <v>32</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55" t="s">
        <v>2131</v>
      </c>
      <c r="F18" s="3656"/>
      <c r="G18" s="3656"/>
      <c r="H18" s="3656"/>
      <c r="I18" s="3656"/>
      <c r="K18" s="302" t="s">
        <v>1289</v>
      </c>
      <c r="L18" s="302">
        <f>IF(C1="",'数据-汇总表'!E3,SUMIF(项目类型,C1,'数据-汇总表'!E17:E26)+SUMIF(项目类型,C1,'数据-汇总表'!I17:I26))</f>
        <v>142.19</v>
      </c>
      <c r="M18" s="302">
        <f>IF(C1="",'数据-汇总表'!E3,SUMIF(项目类型,C1,'数据-汇总表'!E17:E26))</f>
        <v>142.19</v>
      </c>
    </row>
    <row r="19" spans="1:36" ht="14">
      <c r="A19" s="1761" t="s">
        <v>1290</v>
      </c>
      <c r="B19" s="1762" t="s">
        <v>1291</v>
      </c>
      <c r="C19" s="134">
        <f ca="1">SUMIF(INDIRECT("'"&amp;C4&amp;"'"&amp;"!A:A"),结果表!B19,INDIRECT("'"&amp;C4&amp;"'"&amp;"!B:B"))</f>
        <v>1320.7460000000001</v>
      </c>
      <c r="D19" s="135">
        <f ca="1">SUMIF(INDIRECT("'"&amp;D4&amp;"'"&amp;"!A:A"),结果表!B19,INDIRECT("'"&amp;D4&amp;"'"&amp;"!B:B"))</f>
        <v>789.26319999999998</v>
      </c>
      <c r="E19" s="1761" t="s">
        <v>1292</v>
      </c>
      <c r="F19" s="1762" t="s">
        <v>1291</v>
      </c>
      <c r="G19" s="136">
        <f ca="1">ROUND(C19*$C$18+D19*$D$18,0)</f>
        <v>1161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
      <c r="A20" s="1764"/>
      <c r="B20" s="1026" t="s">
        <v>1295</v>
      </c>
      <c r="C20" s="137">
        <f ca="1">SUMIF(INDIRECT("'"&amp;C4&amp;"'"&amp;"!A:A"),结果表!B20,INDIRECT("'"&amp;C4&amp;"'"&amp;"!B:B"))</f>
        <v>92886</v>
      </c>
      <c r="D20" s="138">
        <f ca="1">SUMIF(INDIRECT("'"&amp;D4&amp;"'"&amp;"!A:A"),结果表!B20,INDIRECT("'"&amp;D4&amp;"'"&amp;"!B:B"))</f>
        <v>55508</v>
      </c>
      <c r="E20" s="1764"/>
      <c r="F20" s="1026" t="s">
        <v>1295</v>
      </c>
      <c r="G20" s="139">
        <f ca="1">ROUND(C20*$C$18+D20*$D$18,0)</f>
        <v>81673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K21" s="725">
        <f ca="1">1500/G20</f>
        <v>1.8365922642733828E-2</v>
      </c>
    </row>
    <row r="22" spans="1:36" ht="14.5" thickBot="1">
      <c r="A22" s="1688" t="s">
        <v>1298</v>
      </c>
      <c r="B22" s="1767"/>
      <c r="C22" s="1768"/>
      <c r="D22" s="721">
        <f ca="1">IF(C19&lt;D19,D19/C19-1,C19/D19-1)</f>
        <v>0.67339108170759787</v>
      </c>
      <c r="E22" s="129"/>
      <c r="F22" s="129"/>
      <c r="G22" s="129"/>
      <c r="H22" s="129"/>
      <c r="I22" s="129"/>
    </row>
    <row r="23" spans="1:36" ht="13.5" thickBot="1">
      <c r="A23" s="1747"/>
      <c r="B23" s="1747"/>
      <c r="C23" s="1747"/>
      <c r="D23" s="1747"/>
      <c r="E23" s="129"/>
      <c r="F23" s="3468" t="s">
        <v>3438</v>
      </c>
      <c r="G23" s="129">
        <f ca="1">ROUND(G20*'数据-基础表'!I13,0)</f>
        <v>11613084</v>
      </c>
      <c r="H23" s="129"/>
      <c r="I23" s="129"/>
    </row>
    <row r="24" spans="1:36" ht="14">
      <c r="A24" s="3648" t="s">
        <v>1299</v>
      </c>
      <c r="B24" s="1762" t="s">
        <v>1291</v>
      </c>
      <c r="C24" s="136">
        <f>IF(B30=0,0,D30)</f>
        <v>0</v>
      </c>
      <c r="D24" s="1769"/>
      <c r="E24" s="129"/>
      <c r="F24" s="129"/>
      <c r="G24" s="129"/>
      <c r="H24" s="129"/>
      <c r="I24" s="129"/>
    </row>
    <row r="25" spans="1:36" ht="14">
      <c r="A25" s="36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
      <c r="A27" s="1771"/>
      <c r="B27" s="142">
        <v>0</v>
      </c>
      <c r="C27" s="142">
        <v>0</v>
      </c>
      <c r="D27" s="143">
        <f>ROUND(C27*B27/10000,0)</f>
        <v>0</v>
      </c>
      <c r="E27" s="129"/>
      <c r="F27" s="129"/>
      <c r="G27" s="129"/>
      <c r="H27" s="129"/>
      <c r="I27" s="129"/>
    </row>
    <row r="28" spans="1:36" ht="14">
      <c r="A28" s="1771"/>
      <c r="B28" s="142"/>
      <c r="C28" s="142"/>
      <c r="D28" s="143"/>
      <c r="E28" s="129"/>
      <c r="F28" s="129"/>
      <c r="G28" s="129"/>
      <c r="H28" s="129"/>
      <c r="I28" s="129"/>
    </row>
    <row r="29" spans="1:36" ht="14">
      <c r="A29" s="1771"/>
      <c r="B29" s="142"/>
      <c r="C29" s="142"/>
      <c r="D29" s="143"/>
      <c r="E29" s="129"/>
      <c r="F29" s="129"/>
      <c r="G29" s="129"/>
      <c r="H29" s="129"/>
      <c r="I29" s="129"/>
    </row>
    <row r="30" spans="1:36" ht="14.5" thickBot="1">
      <c r="A30" s="142" t="s">
        <v>1304</v>
      </c>
      <c r="B30" s="142"/>
      <c r="C30" s="142"/>
      <c r="D30" s="142"/>
      <c r="E30" s="2301" t="s">
        <v>2132</v>
      </c>
      <c r="F30" s="129"/>
      <c r="G30" s="129"/>
      <c r="H30" s="129"/>
      <c r="I30" s="129"/>
    </row>
    <row r="31" spans="1:36" s="2307" customFormat="1" ht="26.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 thickTop="1" thickBot="1">
      <c r="A32" s="1773" t="s">
        <v>1305</v>
      </c>
      <c r="B32" s="1774"/>
      <c r="C32" s="144">
        <f ca="1">IF(D32="总价",G19-C24,G20-C25)</f>
        <v>81673</v>
      </c>
      <c r="D32" s="1775"/>
      <c r="E32" s="129"/>
      <c r="F32" s="129"/>
      <c r="G32" s="129"/>
      <c r="H32" s="129"/>
      <c r="I32" s="129"/>
    </row>
    <row r="33" spans="1:15" ht="14">
      <c r="A33" s="786" t="s">
        <v>1306</v>
      </c>
      <c r="B33" s="1776"/>
      <c r="C33" s="1777"/>
      <c r="D33" s="1778"/>
      <c r="E33" s="1779" t="s">
        <v>1307</v>
      </c>
      <c r="F33" s="1780" t="str">
        <f>IF(D32="楼面单价","取值（单价）","取值（总价）")</f>
        <v>取值（总价）</v>
      </c>
      <c r="G33" s="129"/>
      <c r="H33" s="129"/>
      <c r="I33" s="129"/>
    </row>
    <row r="34" spans="1:15" ht="1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4.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4.5" thickBot="1">
      <c r="A36" s="3625" t="s">
        <v>1312</v>
      </c>
      <c r="B36" s="1787" t="s">
        <v>1313</v>
      </c>
      <c r="C36" s="145"/>
      <c r="D36" s="1788"/>
      <c r="E36" s="1789"/>
      <c r="F36" s="1790"/>
      <c r="G36" s="129"/>
      <c r="H36" s="129"/>
      <c r="I36" s="129"/>
    </row>
    <row r="37" spans="1:15" ht="14.5" thickBot="1">
      <c r="A37" s="3626"/>
      <c r="B37" s="1674" t="s">
        <v>1314</v>
      </c>
      <c r="C37" s="147"/>
      <c r="D37" s="1139"/>
      <c r="E37" s="1139"/>
      <c r="F37" s="1790"/>
      <c r="G37" s="129"/>
      <c r="H37" s="129"/>
      <c r="I37" s="129"/>
    </row>
    <row r="38" spans="1:15" ht="14.5" thickBot="1">
      <c r="A38" s="3627"/>
      <c r="B38" s="1791" t="s">
        <v>1315</v>
      </c>
      <c r="C38" s="674"/>
      <c r="D38" s="1792" t="s">
        <v>1316</v>
      </c>
      <c r="E38" s="1139"/>
      <c r="F38" s="1790"/>
      <c r="G38" s="129"/>
      <c r="H38" s="129"/>
      <c r="I38" s="129"/>
    </row>
    <row r="39" spans="1:15" ht="14">
      <c r="A39" s="1764" t="s">
        <v>1317</v>
      </c>
      <c r="B39" s="1793" t="s">
        <v>1318</v>
      </c>
      <c r="C39" s="1794" t="s">
        <v>1319</v>
      </c>
      <c r="D39" s="1794" t="s">
        <v>1320</v>
      </c>
      <c r="E39" s="1795" t="s">
        <v>1321</v>
      </c>
      <c r="F39" s="1790"/>
      <c r="G39" s="129"/>
      <c r="H39" s="129"/>
      <c r="I39" s="129"/>
    </row>
    <row r="40" spans="1:15" ht="14">
      <c r="A40" s="1796" t="s">
        <v>1322</v>
      </c>
      <c r="B40" s="149"/>
      <c r="C40" s="150"/>
      <c r="D40" s="150"/>
      <c r="E40" s="151"/>
      <c r="F40" s="1790"/>
      <c r="G40" s="129"/>
      <c r="H40" s="129"/>
      <c r="I40" s="129"/>
    </row>
    <row r="41" spans="1:15" ht="14">
      <c r="A41" s="1796" t="s">
        <v>1323</v>
      </c>
      <c r="B41" s="149"/>
      <c r="C41" s="150"/>
      <c r="D41" s="150"/>
      <c r="E41" s="151"/>
      <c r="F41" s="1790"/>
      <c r="G41" s="129"/>
      <c r="H41" s="129"/>
      <c r="I41" s="129"/>
    </row>
    <row r="42" spans="1:15" ht="14.5" thickBot="1">
      <c r="A42" s="1797"/>
      <c r="B42" s="152"/>
      <c r="C42" s="153"/>
      <c r="D42" s="153"/>
      <c r="E42" s="154"/>
      <c r="F42" s="1790"/>
      <c r="G42" s="129"/>
      <c r="H42" s="129"/>
      <c r="I42" s="129"/>
    </row>
    <row r="43" spans="1:15" ht="12.5">
      <c r="A43" s="1577"/>
      <c r="B43" s="1577"/>
      <c r="C43" s="1577"/>
      <c r="D43" s="1577"/>
      <c r="E43" s="1577"/>
      <c r="F43" s="1798"/>
      <c r="G43" s="1798"/>
      <c r="H43" s="1798"/>
      <c r="I43" s="1799"/>
    </row>
    <row r="44" spans="1:15" ht="18">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5" t="s">
        <v>1326</v>
      </c>
      <c r="B45" s="3646"/>
      <c r="C45" s="3647"/>
      <c r="D45" s="155" t="e">
        <f ca="1">ROUND(H101*F45,0)</f>
        <v>#REF!</v>
      </c>
      <c r="E45" s="156" t="s">
        <v>1327</v>
      </c>
      <c r="F45" s="157">
        <v>1</v>
      </c>
      <c r="G45" s="158" t="s">
        <v>1328</v>
      </c>
      <c r="H45" s="129"/>
      <c r="I45" s="129"/>
      <c r="J45" s="3565" t="s">
        <v>1329</v>
      </c>
      <c r="K45" s="3565"/>
      <c r="L45" s="3565"/>
      <c r="M45" s="3565"/>
      <c r="N45" s="3565"/>
      <c r="O45" s="3565"/>
    </row>
    <row r="46" spans="1:15" ht="14.25" customHeight="1">
      <c r="A46" s="3642" t="s">
        <v>1330</v>
      </c>
      <c r="B46" s="3643"/>
      <c r="C46" s="3643"/>
      <c r="D46" s="3643"/>
      <c r="E46" s="3643"/>
      <c r="F46" s="3643"/>
      <c r="G46" s="3644"/>
      <c r="H46" s="1806"/>
      <c r="I46" s="159"/>
      <c r="J46" s="2521">
        <v>1</v>
      </c>
      <c r="K46" s="3566" t="s">
        <v>1331</v>
      </c>
      <c r="L46" s="3566"/>
      <c r="M46" s="3567"/>
      <c r="N46" s="3567"/>
      <c r="O46" s="3567"/>
    </row>
    <row r="47" spans="1:15" ht="12" customHeight="1">
      <c r="A47" s="160" t="s">
        <v>1332</v>
      </c>
      <c r="B47" s="161"/>
      <c r="C47" s="162"/>
      <c r="D47" s="1087" t="s">
        <v>1333</v>
      </c>
      <c r="E47" s="302" t="s">
        <v>1334</v>
      </c>
      <c r="F47" s="163" t="s">
        <v>1335</v>
      </c>
      <c r="G47" s="2544" t="s">
        <v>1336</v>
      </c>
      <c r="H47" s="2545"/>
      <c r="I47" s="159"/>
      <c r="J47" s="2521">
        <v>2</v>
      </c>
      <c r="K47" s="3566" t="s">
        <v>1337</v>
      </c>
      <c r="L47" s="3566"/>
      <c r="M47" s="3568">
        <f>'数据-取费表'!B2</f>
        <v>45072</v>
      </c>
      <c r="N47" s="3568"/>
      <c r="O47" s="3568"/>
    </row>
    <row r="48" spans="1:15" ht="26">
      <c r="A48" s="3628" t="s">
        <v>1338</v>
      </c>
      <c r="B48" s="3629"/>
      <c r="C48" s="3629"/>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6"/>
      <c r="J48" s="2521">
        <v>3</v>
      </c>
      <c r="K48" s="3566" t="s">
        <v>1340</v>
      </c>
      <c r="L48" s="3566"/>
      <c r="M48" s="3569" t="e">
        <f ca="1">H101</f>
        <v>#REF!</v>
      </c>
      <c r="N48" s="3569"/>
      <c r="O48" s="3569"/>
    </row>
    <row r="49" spans="1:35" ht="25.5" customHeight="1">
      <c r="A49" s="2331" t="s">
        <v>1341</v>
      </c>
      <c r="B49" s="3614" t="s">
        <v>1342</v>
      </c>
      <c r="C49" s="3614"/>
      <c r="D49" s="1590">
        <v>0</v>
      </c>
      <c r="E49" s="324" t="s">
        <v>1343</v>
      </c>
      <c r="F49" s="2422" t="s">
        <v>28</v>
      </c>
      <c r="G49" s="3597"/>
      <c r="H49" s="2308" t="s">
        <v>2134</v>
      </c>
      <c r="I49" s="2309"/>
      <c r="J49" s="2521">
        <v>4</v>
      </c>
      <c r="K49" s="3566" t="str">
        <f>IF(项目基本情况!E8="房地产抵押价值","房地产抵押价值","抵押担保权已注销时的房地产抵押价值")</f>
        <v>抵押担保权已注销时的房地产抵押价值</v>
      </c>
      <c r="L49" s="3566"/>
      <c r="M49" s="3569" t="str">
        <f>IF(项目基本情况!E8="房地产抵押价值",H107,H109)</f>
        <v>——</v>
      </c>
      <c r="N49" s="3569"/>
      <c r="O49" s="3569"/>
    </row>
    <row r="50" spans="1:35" ht="25.5" customHeight="1">
      <c r="A50" s="2549"/>
      <c r="B50" s="3614" t="s">
        <v>1344</v>
      </c>
      <c r="C50" s="3614"/>
      <c r="D50" s="2550"/>
      <c r="E50" s="332"/>
      <c r="F50" s="2422"/>
      <c r="G50" s="3598"/>
      <c r="H50" s="2310" t="s">
        <v>2135</v>
      </c>
      <c r="I50" s="2309"/>
      <c r="J50" s="3565" t="s">
        <v>1345</v>
      </c>
      <c r="K50" s="3565"/>
      <c r="L50" s="3565"/>
      <c r="M50" s="3565"/>
      <c r="N50" s="3565"/>
      <c r="O50" s="3565"/>
    </row>
    <row r="51" spans="1:35" ht="20.5" customHeight="1">
      <c r="A51" s="2551"/>
      <c r="B51" s="3614" t="s">
        <v>1346</v>
      </c>
      <c r="C51" s="3614"/>
      <c r="D51" s="1087"/>
      <c r="E51" s="327"/>
      <c r="F51" s="2422"/>
      <c r="G51" s="3599"/>
      <c r="H51" s="2310" t="s">
        <v>2136</v>
      </c>
      <c r="I51" s="2309"/>
      <c r="J51" s="2522" t="s">
        <v>1347</v>
      </c>
      <c r="K51" s="3566" t="s">
        <v>1348</v>
      </c>
      <c r="L51" s="3566"/>
      <c r="M51" s="2522" t="s">
        <v>1349</v>
      </c>
      <c r="N51" s="2522" t="s">
        <v>1350</v>
      </c>
      <c r="O51" s="2522" t="s">
        <v>1351</v>
      </c>
    </row>
    <row r="52" spans="1:35" ht="24" customHeight="1">
      <c r="A52" s="2333" t="s">
        <v>1352</v>
      </c>
      <c r="B52" s="3614" t="s">
        <v>1353</v>
      </c>
      <c r="C52" s="3614"/>
      <c r="D52" s="1087" t="e">
        <f ca="1">ROUND(D45*'数据-取费表'!B41/(1+'数据-取费表'!C42),0)</f>
        <v>#REF!</v>
      </c>
      <c r="E52" s="2332" t="s">
        <v>1354</v>
      </c>
      <c r="F52" s="2552">
        <f>'数据-取费表'!B41</f>
        <v>5.6000000000000001E-2</v>
      </c>
      <c r="G52" s="2553"/>
      <c r="H52" s="2542"/>
      <c r="I52" s="1807"/>
      <c r="J52" s="2521">
        <v>1</v>
      </c>
      <c r="K52" s="3591" t="s">
        <v>1355</v>
      </c>
      <c r="L52" s="3591"/>
      <c r="M52" s="2523" t="b">
        <f>D48</f>
        <v>0</v>
      </c>
      <c r="N52" s="2521" t="str">
        <f>E48</f>
        <v>销售额×税（费）率</v>
      </c>
      <c r="O52" s="2524">
        <f>F48</f>
        <v>5.6000000000000001E-2</v>
      </c>
    </row>
    <row r="53" spans="1:35" ht="12" customHeight="1">
      <c r="A53" s="2333" t="s">
        <v>1356</v>
      </c>
      <c r="B53" s="3615" t="s">
        <v>2291</v>
      </c>
      <c r="C53" s="3616"/>
      <c r="D53" s="1087" t="e">
        <f ca="1">ROUND(D45*'数据-取费表'!B41/(1+'数据-取费表'!C42),0)</f>
        <v>#REF!</v>
      </c>
      <c r="E53" s="2332" t="s">
        <v>1354</v>
      </c>
      <c r="F53" s="2552">
        <f>'数据-取费表'!B41</f>
        <v>5.6000000000000001E-2</v>
      </c>
      <c r="G53" s="2553"/>
      <c r="H53" s="2542"/>
      <c r="I53" s="1807"/>
      <c r="J53" s="2521">
        <v>2</v>
      </c>
      <c r="K53" s="3591" t="s">
        <v>1357</v>
      </c>
      <c r="L53" s="3591"/>
      <c r="M53" s="2523" t="e">
        <f t="shared" ref="M53:O54" ca="1" si="0">D55</f>
        <v>#REF!</v>
      </c>
      <c r="N53" s="2521" t="str">
        <f t="shared" si="0"/>
        <v>销售额×税（费）率</v>
      </c>
      <c r="O53" s="2524" t="str">
        <f t="shared" si="0"/>
        <v>免征</v>
      </c>
    </row>
    <row r="54" spans="1:35" ht="12" customHeight="1">
      <c r="A54" s="2333" t="s">
        <v>1358</v>
      </c>
      <c r="B54" s="3615" t="s">
        <v>2292</v>
      </c>
      <c r="C54" s="3616"/>
      <c r="D54" s="1087" t="e">
        <f ca="1">C68</f>
        <v>#REF!</v>
      </c>
      <c r="E54" s="327" t="s">
        <v>1359</v>
      </c>
      <c r="F54" s="2552">
        <f>'数据-取费表'!B41</f>
        <v>5.6000000000000001E-2</v>
      </c>
      <c r="G54" s="2553"/>
      <c r="H54" s="2554"/>
      <c r="I54" s="1807"/>
      <c r="J54" s="2521">
        <v>3</v>
      </c>
      <c r="K54" s="3591" t="s">
        <v>1360</v>
      </c>
      <c r="L54" s="3591"/>
      <c r="M54" s="2523" t="e">
        <f t="shared" ca="1" si="0"/>
        <v>#REF!</v>
      </c>
      <c r="N54" s="2521" t="str">
        <f t="shared" si="0"/>
        <v>增值额×税（费）率</v>
      </c>
      <c r="O54" s="2525" t="str">
        <f t="shared" si="0"/>
        <v>免征</v>
      </c>
    </row>
    <row r="55" spans="1:35" ht="24" customHeight="1">
      <c r="A55" s="3651" t="s">
        <v>1361</v>
      </c>
      <c r="B55" s="3629"/>
      <c r="C55" s="3629"/>
      <c r="D55" s="2322" t="e">
        <f ca="1">IF(H55="个人住宅",0,ROUND(D45*I55,0))</f>
        <v>#REF!</v>
      </c>
      <c r="E55" s="2332" t="s">
        <v>1362</v>
      </c>
      <c r="F55" s="2552" t="str">
        <f>IF(H55="正常",I55,"免征")</f>
        <v>免征</v>
      </c>
      <c r="G55" s="2553"/>
      <c r="H55" s="2548"/>
      <c r="I55" s="165">
        <f>'数据-取费表'!B49</f>
        <v>5.0000000000000001E-4</v>
      </c>
      <c r="J55" s="2521">
        <f>IF(H59="非个人房产","",4)</f>
        <v>4</v>
      </c>
      <c r="K55" s="3591" t="str">
        <f>IF(H59="非个人房产","——","个人所得税")</f>
        <v>个人所得税</v>
      </c>
      <c r="L55" s="3591"/>
      <c r="M55" s="2526" t="e">
        <f ca="1">D59</f>
        <v>#REF!</v>
      </c>
      <c r="N55" s="2039" t="str">
        <f>E59</f>
        <v>差额计税</v>
      </c>
      <c r="O55" s="2527">
        <f>F59</f>
        <v>0.01</v>
      </c>
    </row>
    <row r="56" spans="1:35" ht="26">
      <c r="A56" s="3651" t="s">
        <v>1363</v>
      </c>
      <c r="B56" s="3629"/>
      <c r="C56" s="3629"/>
      <c r="D56" s="2322" t="e">
        <f ca="1">IF(H56="个人住宅",D57,D58)</f>
        <v>#REF!</v>
      </c>
      <c r="E56" s="2332" t="s">
        <v>1364</v>
      </c>
      <c r="F56" s="2552" t="str">
        <f>IF(H56="正常",F58,"免征")</f>
        <v>免征</v>
      </c>
      <c r="G56" s="2555" t="s">
        <v>1365</v>
      </c>
      <c r="H56" s="2556"/>
      <c r="I56" s="1808"/>
      <c r="J56" s="2521" t="str">
        <f>IF(项目基本情况!K6="上海银行",IF(J55="",4,J55+1),"")</f>
        <v/>
      </c>
      <c r="K56" s="3572" t="str">
        <f>IF(项目基本情况!K6="上海银行","其他处置费用","")</f>
        <v/>
      </c>
      <c r="L56" s="3573"/>
      <c r="M56" s="2523" t="str">
        <f>IF(项目基本情况!K6="上海银行",M69,"")</f>
        <v/>
      </c>
      <c r="N56" s="3572" t="str">
        <f>IF(项目基本情况!K6="上海银行","包含处置中涉及的律师、诉讼、拍卖、评估等费用","")</f>
        <v/>
      </c>
      <c r="O56" s="3575"/>
    </row>
    <row r="57" spans="1:35" ht="13">
      <c r="A57" s="2333" t="s">
        <v>1341</v>
      </c>
      <c r="B57" s="3615" t="s">
        <v>1366</v>
      </c>
      <c r="C57" s="3616"/>
      <c r="D57" s="1590">
        <v>0</v>
      </c>
      <c r="E57" s="324" t="s">
        <v>1343</v>
      </c>
      <c r="F57" s="302"/>
      <c r="G57" s="2553"/>
      <c r="H57" s="2557"/>
      <c r="I57" s="1808"/>
      <c r="J57" s="3591">
        <f>IF(AND(J55="",J56=""),4,IF(项目基本情况!K6="上海银行",结果表!J56+1,结果表!J55+1))</f>
        <v>5</v>
      </c>
      <c r="K57" s="3591" t="s">
        <v>1367</v>
      </c>
      <c r="L57" s="2528" t="s">
        <v>1368</v>
      </c>
      <c r="M57" s="2529"/>
      <c r="N57" s="2530">
        <f ca="1">SUMIF(M52:M56,"&lt;9e307")</f>
        <v>0</v>
      </c>
      <c r="O57" s="2531"/>
      <c r="P57" s="2688" t="e">
        <f ca="1">N57/M49</f>
        <v>#VALUE!</v>
      </c>
    </row>
    <row r="58" spans="1:35" ht="26">
      <c r="A58" s="2333" t="s">
        <v>1352</v>
      </c>
      <c r="B58" s="3615" t="s">
        <v>1369</v>
      </c>
      <c r="C58" s="3614"/>
      <c r="D58" s="2322" t="e">
        <f ca="1">IF(H58="转让取得",C81,C97)</f>
        <v>#REF!</v>
      </c>
      <c r="E58" s="2332" t="s">
        <v>1364</v>
      </c>
      <c r="F58" s="302" t="s">
        <v>28</v>
      </c>
      <c r="G58" s="2553"/>
      <c r="H58" s="2556"/>
      <c r="I58" s="1808"/>
      <c r="J58" s="3591"/>
      <c r="K58" s="3591"/>
      <c r="L58" s="2528" t="s">
        <v>1370</v>
      </c>
      <c r="M58" s="2532"/>
      <c r="N58" s="2533" t="str">
        <f ca="1">NUMBERSTRING(INT(N57*10000),2)&amp;"元整"</f>
        <v>零元整</v>
      </c>
      <c r="O58" s="2534"/>
    </row>
    <row r="59" spans="1:35" ht="26.5" thickBot="1">
      <c r="A59" s="3595" t="s">
        <v>1371</v>
      </c>
      <c r="B59" s="3596"/>
      <c r="C59" s="3596"/>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593">
        <f>J57+1</f>
        <v>6</v>
      </c>
      <c r="K59" s="3591" t="s">
        <v>1372</v>
      </c>
      <c r="L59" s="2521" t="s">
        <v>1368</v>
      </c>
      <c r="M59" s="2535"/>
      <c r="N59" s="2536" t="e">
        <f ca="1">M49-N57</f>
        <v>#VALUE!</v>
      </c>
      <c r="O59" s="2537"/>
    </row>
    <row r="60" spans="1:35" ht="12" customHeight="1">
      <c r="A60" s="1809"/>
      <c r="B60" s="1747"/>
      <c r="C60" s="1747"/>
      <c r="D60" s="1747"/>
      <c r="E60" s="1578"/>
      <c r="F60" s="1808"/>
      <c r="G60" s="1808"/>
      <c r="H60" s="1810"/>
      <c r="I60" s="129"/>
      <c r="J60" s="3594"/>
      <c r="K60" s="3591"/>
      <c r="L60" s="2528" t="s">
        <v>1370</v>
      </c>
      <c r="M60" s="2532"/>
      <c r="N60" s="2533" t="e">
        <f ca="1">NUMBERSTRING(INT(N59*10000),2)&amp;"元整"</f>
        <v>#VALUE!</v>
      </c>
      <c r="O60" s="2534"/>
    </row>
    <row r="61" spans="1:35" ht="13.5" thickBot="1">
      <c r="A61" s="3650" t="s">
        <v>1373</v>
      </c>
      <c r="B61" s="3650"/>
      <c r="C61" s="3650"/>
      <c r="D61" s="3650"/>
      <c r="E61" s="3650"/>
      <c r="F61" s="1808"/>
      <c r="G61" s="1808"/>
      <c r="H61" s="1810"/>
      <c r="I61" s="129"/>
      <c r="J61" s="2521">
        <f>J59+1</f>
        <v>7</v>
      </c>
      <c r="K61" s="3591" t="s">
        <v>1374</v>
      </c>
      <c r="L61" s="3591"/>
      <c r="M61" s="2538"/>
      <c r="N61" s="2539" t="e">
        <f ca="1">ROUND(N59*10000/'数据-汇总表'!E3,0)</f>
        <v>#VALUE!</v>
      </c>
      <c r="O61" s="2540"/>
    </row>
    <row r="62" spans="1:35" ht="13">
      <c r="A62" s="3610" t="s">
        <v>1375</v>
      </c>
      <c r="B62" s="3611"/>
      <c r="C62" s="2020"/>
      <c r="D62" s="2020" t="s">
        <v>1376</v>
      </c>
      <c r="E62" s="166" t="s">
        <v>1377</v>
      </c>
      <c r="F62" s="1808"/>
      <c r="G62" s="1808"/>
      <c r="H62" s="1810"/>
      <c r="I62" s="129"/>
    </row>
    <row r="63" spans="1:35" ht="13">
      <c r="A63" s="173" t="s">
        <v>330</v>
      </c>
      <c r="B63" s="167" t="s">
        <v>1378</v>
      </c>
      <c r="C63" s="2562" t="e">
        <f ca="1">ROUND((C64+C65)/(1+'数据-取费表'!C42),0)</f>
        <v>#REF!</v>
      </c>
      <c r="D63" s="167"/>
      <c r="E63" s="168"/>
      <c r="F63" s="1808"/>
      <c r="G63" s="1808"/>
      <c r="H63" s="1810"/>
      <c r="I63" s="129"/>
      <c r="J63" s="3574"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7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74"/>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74"/>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7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574"/>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74"/>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5" thickBot="1">
      <c r="A70" s="3618" t="s">
        <v>1394</v>
      </c>
      <c r="B70" s="3619"/>
      <c r="C70" s="3619"/>
      <c r="D70" s="3619"/>
      <c r="E70" s="3619"/>
      <c r="F70" s="3619"/>
      <c r="G70" s="3619"/>
      <c r="H70" s="3619"/>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
      <c r="A71" s="3610" t="s">
        <v>1375</v>
      </c>
      <c r="B71" s="3611"/>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6">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15" t="s">
        <v>1402</v>
      </c>
      <c r="F76" s="3614"/>
      <c r="G76" s="3614"/>
      <c r="H76" s="361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07" t="s">
        <v>1406</v>
      </c>
      <c r="F78" s="3608"/>
      <c r="G78" s="3608"/>
      <c r="H78" s="360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6">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6.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5" thickBot="1">
      <c r="A83" s="3618" t="s">
        <v>1410</v>
      </c>
      <c r="B83" s="3619"/>
      <c r="C83" s="3619"/>
      <c r="D83" s="3619"/>
      <c r="E83" s="3619"/>
      <c r="F83" s="3619"/>
      <c r="G83" s="3619"/>
      <c r="H83" s="361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
      <c r="A84" s="3610" t="s">
        <v>1375</v>
      </c>
      <c r="B84" s="3611"/>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
      <c r="A90" s="169" t="s">
        <v>326</v>
      </c>
      <c r="B90" s="170" t="s">
        <v>1416</v>
      </c>
      <c r="C90" s="2580"/>
      <c r="D90" s="2575"/>
      <c r="E90" s="193" t="str">
        <f>IF(H88="-","土地取得成本中已包含该笔费用"," ")</f>
        <v xml:space="preserve"> </v>
      </c>
      <c r="F90" s="2325"/>
      <c r="G90" s="3576" t="s">
        <v>2129</v>
      </c>
      <c r="H90" s="3577"/>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07" t="s">
        <v>1419</v>
      </c>
      <c r="F91" s="3608"/>
      <c r="G91" s="360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07" t="s">
        <v>1422</v>
      </c>
      <c r="F92" s="3608"/>
      <c r="G92" s="3608"/>
      <c r="H92" s="3609"/>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07" t="s">
        <v>1406</v>
      </c>
      <c r="F93" s="3608"/>
      <c r="G93" s="3608"/>
      <c r="H93" s="360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52" t="s">
        <v>1426</v>
      </c>
      <c r="F94" s="3653"/>
      <c r="G94" s="3653"/>
      <c r="H94" s="365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6">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6.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7" t="s">
        <v>1428</v>
      </c>
      <c r="B100" s="3558"/>
      <c r="C100" s="3558"/>
      <c r="D100" s="3592"/>
      <c r="E100" s="3558" t="s">
        <v>1429</v>
      </c>
      <c r="F100" s="3558"/>
      <c r="G100" s="3558"/>
      <c r="H100" s="3592"/>
      <c r="I100" s="129"/>
    </row>
    <row r="101" spans="1:35" ht="18.75" customHeight="1">
      <c r="A101" s="3600" t="s">
        <v>1430</v>
      </c>
      <c r="B101" s="3601"/>
      <c r="C101" s="2583" t="str">
        <f>C4</f>
        <v>比较法-住宅</v>
      </c>
      <c r="D101" s="2584" t="str">
        <f>D4</f>
        <v>成本法 (元)</v>
      </c>
      <c r="E101" s="3570" t="s">
        <v>1431</v>
      </c>
      <c r="F101" s="3571"/>
      <c r="G101" s="1827" t="s">
        <v>1432</v>
      </c>
      <c r="H101" s="2593" t="e">
        <f ca="1">H118</f>
        <v>#REF!</v>
      </c>
      <c r="I101" s="129"/>
    </row>
    <row r="102" spans="1:35" ht="18.75" customHeight="1">
      <c r="A102" s="3602" t="s">
        <v>1433</v>
      </c>
      <c r="B102" s="2582" t="s">
        <v>1432</v>
      </c>
      <c r="C102" s="2583">
        <f ca="1">IF(D32="楼面单价",ROUND(C19,0),C19)</f>
        <v>1320.7460000000001</v>
      </c>
      <c r="D102" s="2584">
        <f ca="1">IF(D32="楼面单价",ROUND(D19,0),D19)</f>
        <v>789.26319999999998</v>
      </c>
      <c r="E102" s="3570"/>
      <c r="F102" s="3571"/>
      <c r="G102" s="1827" t="s">
        <v>1434</v>
      </c>
      <c r="H102" s="2553" t="e">
        <f ca="1">I118</f>
        <v>#REF!</v>
      </c>
      <c r="I102" s="129"/>
    </row>
    <row r="103" spans="1:35" ht="42.75" customHeight="1">
      <c r="A103" s="3602"/>
      <c r="B103" s="2582" t="s">
        <v>1434</v>
      </c>
      <c r="C103" s="2585">
        <f ca="1">C20</f>
        <v>92886</v>
      </c>
      <c r="D103" s="2586">
        <f ca="1">D20</f>
        <v>55508</v>
      </c>
      <c r="E103" s="3563" t="s">
        <v>1435</v>
      </c>
      <c r="F103" s="3564"/>
      <c r="G103" s="1828" t="s">
        <v>1436</v>
      </c>
      <c r="H103" s="2593">
        <f>IF(D36="正常操作",H104+H105+H106,H105+H106)</f>
        <v>0</v>
      </c>
      <c r="I103" s="129"/>
    </row>
    <row r="104" spans="1:35" ht="18.75" customHeight="1">
      <c r="A104" s="3602"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12"/>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03" t="str">
        <f>IF(项目基本情况!E8="已注销","——","3.房地产抵押价值")</f>
        <v>3.房地产抵押价值</v>
      </c>
      <c r="F107" s="3571"/>
      <c r="G107" s="1827" t="s">
        <v>1432</v>
      </c>
      <c r="H107" s="2593" t="e">
        <f ca="1">IF(E107="——","——",H101-H103)</f>
        <v>#REF!</v>
      </c>
      <c r="I107" s="129"/>
    </row>
    <row r="108" spans="1:35" ht="18.75" customHeight="1">
      <c r="A108" s="129"/>
      <c r="B108" s="129"/>
      <c r="C108" s="129"/>
      <c r="D108" s="129"/>
      <c r="E108" s="3603"/>
      <c r="F108" s="3571"/>
      <c r="G108" s="1827" t="s">
        <v>1434</v>
      </c>
      <c r="H108" s="2553">
        <f ca="1">IF(H107=H101,H102,ROUND(H107*10000/'数据-汇总表'!E3,0))</f>
        <v>0</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571"/>
      <c r="G109" s="1827" t="s">
        <v>1432</v>
      </c>
      <c r="H109" s="2596" t="str">
        <f>IF(E109="——","——",H101-H105-H106)</f>
        <v>——</v>
      </c>
      <c r="I109" s="129"/>
    </row>
    <row r="110" spans="1:35" ht="18.75" customHeight="1">
      <c r="A110" s="129"/>
      <c r="B110" s="129"/>
      <c r="C110" s="129"/>
      <c r="D110" s="129"/>
      <c r="E110" s="3603"/>
      <c r="F110" s="3571"/>
      <c r="G110" s="1827" t="s">
        <v>1434</v>
      </c>
      <c r="H110" s="2553" t="str">
        <f>IF(H109="——","——",ROUND(H109*10000/'数据-汇总表'!E3,0))</f>
        <v>——</v>
      </c>
      <c r="I110" s="129"/>
    </row>
    <row r="111" spans="1:35" ht="18.75" customHeight="1">
      <c r="A111" s="129"/>
      <c r="B111" s="129"/>
      <c r="C111" s="129"/>
      <c r="D111" s="129"/>
      <c r="E111" s="3604" t="str">
        <f>IF(项目基本情况!E9="抵押净值",IF(OR(项目基本情况!E8="已注销",项目基本情况!E8="房地产抵押价值"),"4.抵押净值","5.抵押净值"),"——")</f>
        <v>——</v>
      </c>
      <c r="F111" s="3590"/>
      <c r="G111" s="1827" t="s">
        <v>1432</v>
      </c>
      <c r="H111" s="2593" t="str">
        <f>IF(E111="——","——",N59)</f>
        <v>——</v>
      </c>
      <c r="I111" s="129"/>
    </row>
    <row r="112" spans="1:35" ht="18.75" customHeight="1" thickBot="1">
      <c r="A112" s="129"/>
      <c r="B112" s="129"/>
      <c r="C112" s="129"/>
      <c r="D112" s="129"/>
      <c r="E112" s="3605"/>
      <c r="F112" s="3606"/>
      <c r="G112" s="1830" t="s">
        <v>1434</v>
      </c>
      <c r="H112" s="2597" t="str">
        <f>IF(E111="——","——",N61)</f>
        <v>——</v>
      </c>
      <c r="I112" s="129"/>
    </row>
    <row r="113" spans="1:27" ht="18.75" customHeight="1">
      <c r="A113" s="129"/>
      <c r="B113" s="129"/>
      <c r="C113" s="129"/>
      <c r="D113" s="129"/>
      <c r="E113" s="3613" t="s">
        <v>1440</v>
      </c>
      <c r="F113" s="3613"/>
      <c r="G113" s="3613"/>
      <c r="H113" s="3613"/>
      <c r="I113" s="129"/>
    </row>
    <row r="114" spans="1:27" ht="3.75" customHeight="1">
      <c r="A114" s="1747"/>
      <c r="B114" s="1747"/>
      <c r="C114" s="1747"/>
      <c r="D114" s="1747"/>
      <c r="E114" s="1809"/>
      <c r="F114" s="1809"/>
      <c r="G114" s="1809"/>
      <c r="H114" s="1809"/>
      <c r="I114" s="1747"/>
    </row>
    <row r="115" spans="1:27" ht="18.75" customHeight="1">
      <c r="A115" s="3621" t="s">
        <v>1442</v>
      </c>
      <c r="B115" s="3622"/>
      <c r="C115" s="3622"/>
      <c r="D115" s="3622"/>
      <c r="E115" s="3622"/>
      <c r="F115" s="3622"/>
      <c r="G115" s="3622"/>
      <c r="H115" s="3622"/>
      <c r="I115" s="3623"/>
    </row>
    <row r="116" spans="1:27" ht="27" customHeight="1">
      <c r="A116" s="3578" t="s">
        <v>1443</v>
      </c>
      <c r="B116" s="3582" t="s">
        <v>1444</v>
      </c>
      <c r="C116" s="3582" t="s">
        <v>1445</v>
      </c>
      <c r="D116" s="3588" t="s">
        <v>1446</v>
      </c>
      <c r="E116" s="3589"/>
      <c r="F116" s="3620" t="s">
        <v>1447</v>
      </c>
      <c r="G116" s="3620"/>
      <c r="H116" s="3578" t="s">
        <v>1448</v>
      </c>
      <c r="I116" s="3578"/>
    </row>
    <row r="117" spans="1:27" ht="18.75" customHeight="1">
      <c r="A117" s="3578"/>
      <c r="B117" s="3583"/>
      <c r="C117" s="3583"/>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142.19</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78" t="s">
        <v>1452</v>
      </c>
      <c r="B119" s="3578"/>
      <c r="C119" s="3578"/>
      <c r="D119" s="3584" t="e">
        <f ca="1">NUMBERSTRING(INT(D118*10000),2)&amp;"元整"</f>
        <v>#REF!</v>
      </c>
      <c r="E119" s="3585"/>
      <c r="F119" s="3584" t="e">
        <f ca="1">NUMBERSTRING(INT(F118*10000),2)&amp;"元整"</f>
        <v>#REF!</v>
      </c>
      <c r="G119" s="3585"/>
      <c r="H119" s="3584" t="e">
        <f ca="1">NUMBERSTRING(INT(H118*10000),2)&amp;"元整"</f>
        <v>#REF!</v>
      </c>
      <c r="I119" s="3585"/>
    </row>
    <row r="120" spans="1:27" ht="18.75" customHeight="1">
      <c r="A120" s="3579" t="str">
        <f>IF(项目基本情况!B9="房地产市场价值","",MID(E103,3,LEN(E103)-2))</f>
        <v/>
      </c>
      <c r="B120" s="3580"/>
      <c r="C120" s="3581"/>
      <c r="D120" s="3579">
        <f>H103</f>
        <v>0</v>
      </c>
      <c r="E120" s="3580"/>
      <c r="F120" s="3580"/>
      <c r="G120" s="3580"/>
      <c r="H120" s="3580"/>
      <c r="I120" s="358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4" t="s">
        <v>1452</v>
      </c>
      <c r="B121" s="3586"/>
      <c r="C121" s="3585"/>
      <c r="D121" s="3584" t="str">
        <f>IF(D120=0,"零元整",NUMBERSTRING(INT(D120*10000),2)&amp;"元整")</f>
        <v>零元整</v>
      </c>
      <c r="E121" s="3586"/>
      <c r="F121" s="3586"/>
      <c r="G121" s="3586"/>
      <c r="H121" s="3586"/>
      <c r="I121" s="3585"/>
      <c r="AA121" s="725"/>
    </row>
    <row r="122" spans="1:27" ht="18.75" customHeight="1">
      <c r="A122" s="3590" t="str">
        <f>IF(项目基本情况!B9="房地产市场价值","",MID(E107,3,LEN(E107)-2))</f>
        <v/>
      </c>
      <c r="B122" s="3590"/>
      <c r="C122" s="3590"/>
      <c r="D122" s="3579" t="e">
        <f ca="1">H107</f>
        <v>#REF!</v>
      </c>
      <c r="E122" s="3580"/>
      <c r="F122" s="3580"/>
      <c r="G122" s="3580"/>
      <c r="H122" s="3580"/>
      <c r="I122" s="3581"/>
      <c r="AA122" s="725"/>
    </row>
    <row r="123" spans="1:27" ht="18.75" customHeight="1">
      <c r="A123" s="3578" t="s">
        <v>1452</v>
      </c>
      <c r="B123" s="3578"/>
      <c r="C123" s="3578"/>
      <c r="D123" s="3584" t="e">
        <f ca="1">NUMBERSTRING(INT(D122*10000),2)&amp;"元整"</f>
        <v>#REF!</v>
      </c>
      <c r="E123" s="3586"/>
      <c r="F123" s="3586"/>
      <c r="G123" s="3586"/>
      <c r="H123" s="3586"/>
      <c r="I123" s="3585"/>
      <c r="AA123" s="725"/>
    </row>
    <row r="124" spans="1:27" ht="18.75" customHeight="1">
      <c r="A124" s="3590" t="str">
        <f>IF(项目基本情况!B9="房地产市场价值","",MID(E109,3,LEN(E109)-2))</f>
        <v/>
      </c>
      <c r="B124" s="3590"/>
      <c r="C124" s="3590"/>
      <c r="D124" s="3579" t="str">
        <f>H109</f>
        <v>——</v>
      </c>
      <c r="E124" s="3580"/>
      <c r="F124" s="3580"/>
      <c r="G124" s="3580"/>
      <c r="H124" s="3580"/>
      <c r="I124" s="3581"/>
      <c r="AA124" s="725"/>
    </row>
    <row r="125" spans="1:27" ht="18.75" customHeight="1">
      <c r="A125" s="3578" t="s">
        <v>1452</v>
      </c>
      <c r="B125" s="3578"/>
      <c r="C125" s="3578"/>
      <c r="D125" s="3584" t="e">
        <f>NUMBERSTRING(INT(D124*10000),2)&amp;"元整"</f>
        <v>#VALUE!</v>
      </c>
      <c r="E125" s="3586"/>
      <c r="F125" s="3586"/>
      <c r="G125" s="3586"/>
      <c r="H125" s="3586"/>
      <c r="I125" s="3585"/>
      <c r="AA125" s="725"/>
    </row>
    <row r="126" spans="1:27" ht="18.75" customHeight="1">
      <c r="A126" s="3590" t="str">
        <f>IF(项目基本情况!B9="房地产市场价值","",MID(E111,3,LEN(E111)-2))</f>
        <v/>
      </c>
      <c r="B126" s="3590"/>
      <c r="C126" s="3590"/>
      <c r="D126" s="3579" t="str">
        <f>H111</f>
        <v>——</v>
      </c>
      <c r="E126" s="3580"/>
      <c r="F126" s="3580"/>
      <c r="G126" s="3580"/>
      <c r="H126" s="3580"/>
      <c r="I126" s="3581"/>
      <c r="AA126" s="725"/>
    </row>
    <row r="127" spans="1:27" ht="18.75" customHeight="1">
      <c r="A127" s="3578" t="s">
        <v>1452</v>
      </c>
      <c r="B127" s="3578"/>
      <c r="C127" s="3578"/>
      <c r="D127" s="3584" t="e">
        <f>NUMBERSTRING(INT(D126*10000),2)&amp;"元整"</f>
        <v>#VALUE!</v>
      </c>
      <c r="E127" s="3586"/>
      <c r="F127" s="3586"/>
      <c r="G127" s="3586"/>
      <c r="H127" s="3586"/>
      <c r="I127" s="3585"/>
      <c r="AA127" s="725"/>
    </row>
    <row r="128" spans="1:27" ht="21.75" customHeight="1">
      <c r="A128" s="3587" t="s">
        <v>1453</v>
      </c>
      <c r="B128" s="3587"/>
      <c r="C128" s="3587"/>
      <c r="D128" s="3587"/>
      <c r="E128" s="3587"/>
      <c r="F128" s="3587"/>
      <c r="G128" s="3587"/>
      <c r="H128" s="3587"/>
      <c r="I128" s="358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9" customWidth="1"/>
    <col min="2" max="2" width="29.26953125" style="251" customWidth="1"/>
    <col min="3" max="3" width="12.08984375" style="251" customWidth="1"/>
    <col min="4" max="5" width="11.26953125" style="272" customWidth="1"/>
    <col min="6" max="6" width="9.453125" style="251" customWidth="1"/>
    <col min="7" max="7" width="31.90625" style="251" customWidth="1"/>
    <col min="8" max="254" width="9" style="251" customWidth="1"/>
    <col min="255" max="16384" width="8.36328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35296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2482312</v>
      </c>
      <c r="C3" s="199" t="s">
        <v>1465</v>
      </c>
      <c r="D3" s="199"/>
      <c r="E3" s="199"/>
      <c r="F3" s="199"/>
      <c r="G3" s="199"/>
    </row>
    <row r="4" spans="1:9" s="208" customFormat="1" ht="16">
      <c r="A4" s="205" t="s">
        <v>1466</v>
      </c>
      <c r="B4" s="206"/>
      <c r="C4" s="206"/>
      <c r="D4" s="206"/>
      <c r="E4" s="206"/>
      <c r="F4" s="206"/>
      <c r="G4" s="207"/>
    </row>
    <row r="5" spans="1:9" s="214" customFormat="1" ht="13.5" customHeight="1">
      <c r="A5" s="255" t="s">
        <v>1467</v>
      </c>
      <c r="B5" s="210" t="s">
        <v>1468</v>
      </c>
      <c r="C5" s="211">
        <f ca="1">C6+C7+C8</f>
        <v>22750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ht="13">
      <c r="A8" s="778" t="s">
        <v>1476</v>
      </c>
      <c r="B8" s="215" t="s">
        <v>1477</v>
      </c>
      <c r="C8" s="220">
        <f ca="1">IF(G8="已包含在土地购买价格中","0",IF(B1="",'数据-取费表'!B29,IF(G9="全部缴纳",C9+C10,H9)))</f>
        <v>22750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142.19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142.19</v>
      </c>
      <c r="E19" s="211">
        <f>'数据-取费表'!B31</f>
        <v>200</v>
      </c>
      <c r="F19" s="231"/>
      <c r="G19" s="1856"/>
    </row>
    <row r="20" spans="1:7" s="214" customFormat="1" ht="13.5" customHeight="1">
      <c r="A20" s="255" t="s">
        <v>1493</v>
      </c>
      <c r="B20" s="210" t="s">
        <v>1494</v>
      </c>
      <c r="C20" s="232">
        <f ca="1">ROUND((C5+C19)*F20,0)</f>
        <v>455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2235</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2213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6">
      <c r="A25" s="780" t="s">
        <v>1508</v>
      </c>
      <c r="B25" s="215" t="s">
        <v>1509</v>
      </c>
      <c r="C25" s="1105">
        <f ca="1">ROUND(IF('数据-取费表'!B22&lt;=1,C20*F22*'数据-取费表'!B23/2,C20*(POWER((1+F22),'数据-取费表'!B23/2)-1)),0)</f>
        <v>22</v>
      </c>
      <c r="D25" s="238"/>
      <c r="E25" s="241"/>
      <c r="F25" s="239"/>
      <c r="G25" s="242" t="s">
        <v>1510</v>
      </c>
    </row>
    <row r="26" spans="1:7" s="214" customFormat="1" ht="13">
      <c r="A26" s="780" t="s">
        <v>350</v>
      </c>
      <c r="B26" s="215" t="s">
        <v>1511</v>
      </c>
      <c r="C26" s="238">
        <f ca="1">ROUND(IF('数据-取费表'!B22&lt;=1,F21*F22*'数据-取费表'!B23/2,F21*(POWER((1+F22),'数据-取费表'!B23/2)-1)),4)</f>
        <v>1E-3</v>
      </c>
      <c r="D26" s="238"/>
      <c r="E26" s="241"/>
      <c r="F26" s="239"/>
      <c r="G26" s="243"/>
    </row>
    <row r="27" spans="1:7" s="214" customFormat="1" ht="27">
      <c r="A27" s="255" t="s">
        <v>1512</v>
      </c>
      <c r="B27" s="244" t="s">
        <v>1513</v>
      </c>
      <c r="C27" s="245">
        <f ca="1">C28</f>
        <v>6962</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ROUND((C5+C19+C20)*F27*'数据-取费表'!B21/'数据-取费表'!B20,0)</f>
        <v>6962</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35234</v>
      </c>
      <c r="D31" s="230"/>
      <c r="E31" s="211"/>
      <c r="F31" s="250"/>
      <c r="G31" s="234" t="s">
        <v>1522</v>
      </c>
    </row>
    <row r="32" spans="1:7" s="208" customFormat="1" ht="16">
      <c r="A32" s="252" t="s">
        <v>1523</v>
      </c>
      <c r="B32" s="253"/>
      <c r="C32" s="253"/>
      <c r="D32" s="253"/>
      <c r="E32" s="253"/>
      <c r="F32" s="253"/>
      <c r="G32" s="254"/>
    </row>
    <row r="33" spans="1:7" s="214" customFormat="1" ht="13.5" customHeight="1">
      <c r="A33" s="255" t="s">
        <v>337</v>
      </c>
      <c r="B33" s="210" t="s">
        <v>1524</v>
      </c>
      <c r="C33" s="256">
        <f ca="1">SUM(C34:C38)</f>
        <v>66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57</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6">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0.05</v>
      </c>
      <c r="G36" s="260" t="s">
        <v>1530</v>
      </c>
    </row>
    <row r="37" spans="1:7" s="258" customFormat="1" ht="13.5" customHeight="1">
      <c r="A37" s="780" t="s">
        <v>353</v>
      </c>
      <c r="B37" s="215" t="s">
        <v>1531</v>
      </c>
      <c r="C37" s="249">
        <f ca="1">ROUND(E37*D37*F34/10000,0)</f>
        <v>3</v>
      </c>
      <c r="D37" s="217">
        <f ca="1">D19</f>
        <v>142.19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7" t="s">
        <v>1544</v>
      </c>
    </row>
    <row r="43" spans="1:7" ht="13.5" customHeight="1">
      <c r="A43" s="780" t="s">
        <v>347</v>
      </c>
      <c r="B43" s="215" t="s">
        <v>1545</v>
      </c>
      <c r="C43" s="238">
        <f ca="1">ROUND(IF('数据-取费表'!B22&lt;=1,C39*F22*'数据-取费表'!B21/2,C39*(POWER((1+F22),'数据-取费表'!B21/2)-1)),0)</f>
        <v>0</v>
      </c>
      <c r="D43" s="238"/>
      <c r="E43" s="238"/>
      <c r="F43" s="239"/>
      <c r="G43" s="3658"/>
    </row>
    <row r="44" spans="1:7" ht="13.5" customHeight="1">
      <c r="A44" s="780" t="s">
        <v>348</v>
      </c>
      <c r="B44" s="215" t="s">
        <v>1546</v>
      </c>
      <c r="C44" s="238">
        <f ca="1">ROUND(IF('数据-取费表'!B22&lt;=1,C40*F22*'数据-取费表'!B21/2,C40*(POWER((1+F22),'数据-取费表'!B21/2)-1)),4)</f>
        <v>1E-3</v>
      </c>
      <c r="D44" s="238"/>
      <c r="E44" s="238"/>
      <c r="F44" s="239"/>
      <c r="G44" s="3659"/>
    </row>
    <row r="45" spans="1:7" s="214" customFormat="1" ht="13.5" customHeight="1">
      <c r="A45" s="255" t="s">
        <v>1547</v>
      </c>
      <c r="B45" s="244" t="s">
        <v>1513</v>
      </c>
      <c r="C45" s="245">
        <f ca="1">C46</f>
        <v>20</v>
      </c>
      <c r="D45" s="235">
        <f ca="1">C47</f>
        <v>6.0000000000000001E-3</v>
      </c>
      <c r="E45" s="236" t="s">
        <v>1539</v>
      </c>
      <c r="F45" s="246">
        <f ca="1">F27</f>
        <v>0.3</v>
      </c>
      <c r="G45" s="247" t="s">
        <v>1548</v>
      </c>
    </row>
    <row r="46" spans="1:7" s="214" customFormat="1" ht="13.5" customHeight="1">
      <c r="A46" s="780" t="s">
        <v>346</v>
      </c>
      <c r="B46" s="248" t="s">
        <v>1549</v>
      </c>
      <c r="C46" s="249">
        <f ca="1">ROUND((C33+C39)*F27,0)</f>
        <v>20</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98</v>
      </c>
      <c r="D49" s="232"/>
      <c r="E49" s="232"/>
      <c r="F49" s="264"/>
      <c r="G49" s="234" t="s">
        <v>1554</v>
      </c>
    </row>
    <row r="50" spans="1:7" s="258" customFormat="1" ht="26">
      <c r="A50" s="255" t="s">
        <v>1555</v>
      </c>
      <c r="B50" s="210" t="s">
        <v>1556</v>
      </c>
      <c r="C50" s="232"/>
      <c r="D50" s="232"/>
      <c r="E50" s="232"/>
      <c r="F50" s="264">
        <f>IF('数据-取费表'!B24=0,'数据-取费表'!N16,1)</f>
        <v>0.63500000000000001</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35296</v>
      </c>
      <c r="D52" s="266"/>
      <c r="E52" s="266"/>
      <c r="F52" s="266"/>
      <c r="G52" s="268"/>
    </row>
    <row r="55" spans="1:7" ht="15.5">
      <c r="B55" s="270" t="s">
        <v>1562</v>
      </c>
      <c r="C55" s="271"/>
    </row>
    <row r="56" spans="1:7" ht="13">
      <c r="B56" s="273" t="s">
        <v>802</v>
      </c>
      <c r="C56" s="275">
        <f ca="1">1-C57</f>
        <v>0.998</v>
      </c>
    </row>
    <row r="57" spans="1:7" ht="13">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北京市房地产市场价值预评估</v>
      </c>
      <c r="C37" s="3474"/>
      <c r="D37" s="3474"/>
      <c r="E37" s="3474"/>
      <c r="F37" s="3474"/>
      <c r="G37" s="3474"/>
      <c r="H37" s="3474"/>
      <c r="I37" s="347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3.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728" customWidth="1"/>
    <col min="2" max="2" width="25.7265625" style="781" customWidth="1"/>
    <col min="3" max="3" width="10.36328125" style="823" customWidth="1"/>
    <col min="4" max="4" width="9.90625" style="781" customWidth="1"/>
    <col min="5" max="5" width="9.453125" style="728" customWidth="1"/>
    <col min="6" max="6" width="10.08984375" style="781" customWidth="1"/>
    <col min="7" max="7" width="10.7265625" style="781" customWidth="1"/>
    <col min="8" max="8" width="10" style="781" customWidth="1"/>
    <col min="9" max="11" width="9.453125" style="781" customWidth="1"/>
    <col min="12" max="12" width="9" style="781" customWidth="1"/>
    <col min="13" max="13" width="10.453125" style="781" bestFit="1" customWidth="1"/>
    <col min="14" max="254" width="9" style="781" customWidth="1"/>
    <col min="255" max="16384" width="6.63281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29314</v>
      </c>
      <c r="C2" s="276" t="s">
        <v>1595</v>
      </c>
      <c r="D2" s="276"/>
      <c r="E2" s="2804"/>
      <c r="F2" s="2804"/>
      <c r="G2" s="2804"/>
      <c r="H2" s="2804"/>
      <c r="I2" s="2804"/>
      <c r="J2" s="2804"/>
      <c r="K2" s="2804"/>
    </row>
    <row r="3" spans="1:33" ht="18" customHeight="1" thickBot="1">
      <c r="A3" s="203" t="s">
        <v>1464</v>
      </c>
      <c r="B3" s="204">
        <f ca="1">ROUND(B2*10000/IF(C1="",'数据-汇总表'!E3,INDIRECT("'数据-取费表'!K"&amp;$K$1)),0)</f>
        <v>2061608</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142.19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142.19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-22748</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142.19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-22748</v>
      </c>
      <c r="D21" s="815"/>
      <c r="E21" s="281"/>
      <c r="F21" s="281"/>
      <c r="G21" s="131" t="s">
        <v>1629</v>
      </c>
      <c r="H21" s="807"/>
      <c r="I21" s="807"/>
      <c r="J21" s="807"/>
      <c r="K21" s="808"/>
    </row>
    <row r="22" spans="1:33" s="803" customFormat="1" ht="13.5" customHeight="1">
      <c r="A22" s="790" t="s">
        <v>1601</v>
      </c>
      <c r="B22" s="813" t="s">
        <v>1630</v>
      </c>
      <c r="C22" s="814">
        <f ca="1">ROUND(C21*F22,0)</f>
        <v>-455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-6961</v>
      </c>
      <c r="D28" s="280">
        <f ca="1">C29</f>
        <v>0</v>
      </c>
      <c r="E28" s="282" t="s">
        <v>12</v>
      </c>
      <c r="F28" s="288">
        <f ca="1">IF(C1="",'数据-取费表'!Q16,INDIRECT("'数据-取费表'!q"&amp;$K$1))</f>
        <v>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-6961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29314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8" customWidth="1"/>
    <col min="2" max="2" width="20.6328125" style="655" customWidth="1"/>
    <col min="3" max="3" width="11.90625" style="655" customWidth="1"/>
    <col min="4" max="4" width="40.453125" style="258" customWidth="1"/>
    <col min="5" max="5" width="15.7265625" style="258" customWidth="1"/>
    <col min="6" max="6" width="10.6328125" style="258" customWidth="1"/>
    <col min="7" max="7" width="4.90625" style="258" customWidth="1"/>
    <col min="8" max="8" width="8.453125" style="258" customWidth="1"/>
    <col min="9" max="9" width="21.26953125" style="258" customWidth="1"/>
    <col min="10" max="10" width="12.26953125" style="258" customWidth="1"/>
    <col min="11" max="11" width="45.08984375" style="1468" customWidth="1"/>
    <col min="12" max="12" width="16.36328125" style="258" customWidth="1"/>
    <col min="13" max="13" width="13" style="258" customWidth="1"/>
    <col min="14" max="14" width="13.7265625" style="1384" customWidth="1"/>
    <col min="15" max="15" width="5.08984375" style="1384" customWidth="1"/>
    <col min="16" max="16" width="25.7265625" style="1384" customWidth="1"/>
    <col min="17" max="17" width="13.7265625" style="1384" customWidth="1"/>
    <col min="18" max="18" width="20.453125" style="1384" customWidth="1"/>
    <col min="19" max="19" width="13.269531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2" t="s">
        <v>694</v>
      </c>
      <c r="C6" s="1074">
        <f ca="1">ROUND(F6*F8*F7*(1-F9)/10000,0)</f>
        <v>0</v>
      </c>
      <c r="D6" s="155" t="s">
        <v>2109</v>
      </c>
      <c r="E6" s="302" t="s">
        <v>696</v>
      </c>
      <c r="F6" s="303">
        <f ca="1">INDIRECT("'数据-取费表'!u"&amp;$G$1)</f>
        <v>0</v>
      </c>
      <c r="G6" s="1384"/>
      <c r="H6" s="1069" t="s">
        <v>398</v>
      </c>
      <c r="I6" s="3662" t="s">
        <v>694</v>
      </c>
      <c r="J6" s="301">
        <f ca="1">ROUND(M6*M8*M7*(1-M9)/10000,0)</f>
        <v>0</v>
      </c>
      <c r="K6" s="155" t="s">
        <v>2108</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0</v>
      </c>
      <c r="G7" s="1384"/>
      <c r="H7" s="304"/>
      <c r="I7" s="3663"/>
      <c r="J7" s="306"/>
      <c r="K7" s="307"/>
      <c r="L7" s="302" t="s">
        <v>697</v>
      </c>
      <c r="M7" s="303">
        <f ca="1">F7</f>
        <v>0</v>
      </c>
    </row>
    <row r="8" spans="1:37" ht="18" customHeight="1">
      <c r="A8" s="304"/>
      <c r="B8" s="3663"/>
      <c r="C8" s="306"/>
      <c r="D8" s="307"/>
      <c r="E8" s="302" t="s">
        <v>698</v>
      </c>
      <c r="F8" s="303">
        <f ca="1">INDIRECT("'数据-取费表'!ai"&amp;$G$1)</f>
        <v>0</v>
      </c>
      <c r="G8" s="1384"/>
      <c r="H8" s="304"/>
      <c r="I8" s="3663"/>
      <c r="J8" s="306"/>
      <c r="K8" s="307"/>
      <c r="L8" s="302" t="s">
        <v>698</v>
      </c>
      <c r="M8" s="303">
        <f ca="1">INDIRECT("'数据-取费表'!ai"&amp;$G$1)</f>
        <v>0</v>
      </c>
    </row>
    <row r="9" spans="1:37" ht="18" customHeight="1">
      <c r="A9" s="304"/>
      <c r="B9" s="3664"/>
      <c r="C9" s="306"/>
      <c r="D9" s="307"/>
      <c r="E9" s="302" t="s">
        <v>699</v>
      </c>
      <c r="F9" s="312">
        <f ca="1">INDIRECT("'数据-取费表'!w"&amp;$G$1)</f>
        <v>0</v>
      </c>
      <c r="G9" s="1384"/>
      <c r="H9" s="304"/>
      <c r="I9" s="366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3">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0</v>
      </c>
      <c r="D31" s="1345" t="s">
        <v>720</v>
      </c>
      <c r="E31" s="1344" t="s">
        <v>770</v>
      </c>
      <c r="F31" s="2313">
        <f ca="1">IF(项目基本情况!B11="企业","——",IF(M47="住宅",IF(F6*F7*F8/12/(1+'数据-取费表'!F30)&gt;100000,4%,2.5%),IF(F6*F7*F8/12/(1+'数据-取费表'!F30)&gt;100000,12%,7%)))</f>
        <v>7.0000000000000007E-2</v>
      </c>
      <c r="G31" s="1384"/>
      <c r="H31" s="2806" t="s">
        <v>2310</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5"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4"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3.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6.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60" t="s">
        <v>837</v>
      </c>
      <c r="L53" s="3661"/>
      <c r="O53" s="1418" t="s">
        <v>409</v>
      </c>
      <c r="P53" s="1419" t="s">
        <v>838</v>
      </c>
      <c r="Q53" s="1420" t="e">
        <f ca="1">Q47+Q48</f>
        <v>#DIV/0!</v>
      </c>
      <c r="R53" s="1420" t="s">
        <v>410</v>
      </c>
    </row>
    <row r="54" spans="1:18" s="1384" customFormat="1" ht="26.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40"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6.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6.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6.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ht="13">
      <c r="B76" s="342" t="s">
        <v>796</v>
      </c>
      <c r="C76" s="343">
        <f ca="1">INDIRECT("'数据-取费表'!j"&amp;$G$1)</f>
        <v>0</v>
      </c>
      <c r="I76" s="1384"/>
      <c r="J76" s="1384"/>
      <c r="K76" s="1402"/>
      <c r="L76" s="1384"/>
    </row>
    <row r="77" spans="1:18" ht="13.5">
      <c r="B77" s="344" t="s">
        <v>797</v>
      </c>
      <c r="C77" s="345"/>
      <c r="I77" s="1384"/>
      <c r="J77" s="1384"/>
      <c r="K77" s="1402"/>
      <c r="L77" s="1384"/>
    </row>
    <row r="78" spans="1:18" ht="13.5">
      <c r="B78" s="270" t="s">
        <v>798</v>
      </c>
      <c r="C78" s="346"/>
    </row>
    <row r="79" spans="1:18" ht="13">
      <c r="B79" s="340" t="s">
        <v>799</v>
      </c>
      <c r="C79" s="274" t="e">
        <f ca="1">1-C80</f>
        <v>#DIV/0!</v>
      </c>
    </row>
    <row r="80" spans="1:18" ht="13">
      <c r="B80" s="340" t="s">
        <v>800</v>
      </c>
      <c r="C80" s="274" t="e">
        <f ca="1">ROUND(C75/C39,3)</f>
        <v>#DIV/0!</v>
      </c>
    </row>
    <row r="81" spans="2:3" ht="13.5">
      <c r="B81" s="270" t="s">
        <v>801</v>
      </c>
      <c r="C81" s="238"/>
    </row>
    <row r="82" spans="2:3" ht="13">
      <c r="B82" s="273" t="s">
        <v>802</v>
      </c>
      <c r="C82" s="275" t="e">
        <f ca="1">1-C83</f>
        <v>#DIV/0!</v>
      </c>
    </row>
    <row r="83" spans="2:3" ht="1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453125" style="2840" customWidth="1"/>
    <col min="2" max="2" width="8.90625" style="2840"/>
    <col min="3" max="5" width="12.90625" style="2840" customWidth="1"/>
    <col min="6" max="6" width="47.453125" style="2840" customWidth="1"/>
    <col min="7" max="7" width="13" style="2999" customWidth="1"/>
    <col min="8" max="8" width="8.90625" style="2834"/>
    <col min="9" max="9" width="8.90625" style="2835"/>
    <col min="10" max="10" width="5.7265625" style="3000" customWidth="1"/>
    <col min="11" max="11" width="11.7265625" style="3000" customWidth="1"/>
    <col min="12" max="13" width="10.7265625" style="3000" customWidth="1"/>
    <col min="14" max="14" width="10" style="3000" customWidth="1"/>
    <col min="15" max="16" width="10.453125" style="3000" bestFit="1" customWidth="1"/>
    <col min="17" max="17" width="10" style="3000" customWidth="1"/>
    <col min="18" max="18" width="10.08984375" style="3000" customWidth="1"/>
    <col min="19" max="19" width="10" style="3000" customWidth="1"/>
    <col min="20" max="20" width="26.08984375" style="3000" customWidth="1"/>
    <col min="21" max="21" width="8.90625" style="3000"/>
    <col min="22" max="22" width="8.90625" style="2835"/>
    <col min="23" max="256" width="8.90625" style="2840"/>
    <col min="257" max="257" width="9.453125" style="2840" customWidth="1"/>
    <col min="258" max="258" width="8.90625" style="2840"/>
    <col min="259" max="261" width="12.90625" style="2840" customWidth="1"/>
    <col min="262" max="262" width="47.453125" style="2840" customWidth="1"/>
    <col min="263" max="263" width="13" style="2840" customWidth="1"/>
    <col min="264" max="265" width="8.90625" style="2840"/>
    <col min="266" max="266" width="5.7265625" style="2840" customWidth="1"/>
    <col min="267" max="267" width="11.7265625" style="2840" customWidth="1"/>
    <col min="268" max="269" width="10.7265625" style="2840" customWidth="1"/>
    <col min="270" max="270" width="10" style="2840" customWidth="1"/>
    <col min="271" max="272" width="10.453125" style="2840" bestFit="1" customWidth="1"/>
    <col min="273" max="273" width="10" style="2840" customWidth="1"/>
    <col min="274" max="274" width="10.08984375" style="2840" customWidth="1"/>
    <col min="275" max="275" width="10" style="2840" customWidth="1"/>
    <col min="276" max="276" width="26.08984375" style="2840" customWidth="1"/>
    <col min="277" max="512" width="8.90625" style="2840"/>
    <col min="513" max="513" width="9.453125" style="2840" customWidth="1"/>
    <col min="514" max="514" width="8.90625" style="2840"/>
    <col min="515" max="517" width="12.90625" style="2840" customWidth="1"/>
    <col min="518" max="518" width="47.453125" style="2840" customWidth="1"/>
    <col min="519" max="519" width="13" style="2840" customWidth="1"/>
    <col min="520" max="521" width="8.90625" style="2840"/>
    <col min="522" max="522" width="5.7265625" style="2840" customWidth="1"/>
    <col min="523" max="523" width="11.7265625" style="2840" customWidth="1"/>
    <col min="524" max="525" width="10.7265625" style="2840" customWidth="1"/>
    <col min="526" max="526" width="10" style="2840" customWidth="1"/>
    <col min="527" max="528" width="10.453125" style="2840" bestFit="1" customWidth="1"/>
    <col min="529" max="529" width="10" style="2840" customWidth="1"/>
    <col min="530" max="530" width="10.08984375" style="2840" customWidth="1"/>
    <col min="531" max="531" width="10" style="2840" customWidth="1"/>
    <col min="532" max="532" width="26.08984375" style="2840" customWidth="1"/>
    <col min="533" max="768" width="8.90625" style="2840"/>
    <col min="769" max="769" width="9.453125" style="2840" customWidth="1"/>
    <col min="770" max="770" width="8.90625" style="2840"/>
    <col min="771" max="773" width="12.90625" style="2840" customWidth="1"/>
    <col min="774" max="774" width="47.453125" style="2840" customWidth="1"/>
    <col min="775" max="775" width="13" style="2840" customWidth="1"/>
    <col min="776" max="777" width="8.90625" style="2840"/>
    <col min="778" max="778" width="5.7265625" style="2840" customWidth="1"/>
    <col min="779" max="779" width="11.7265625" style="2840" customWidth="1"/>
    <col min="780" max="781" width="10.7265625" style="2840" customWidth="1"/>
    <col min="782" max="782" width="10" style="2840" customWidth="1"/>
    <col min="783" max="784" width="10.453125" style="2840" bestFit="1" customWidth="1"/>
    <col min="785" max="785" width="10" style="2840" customWidth="1"/>
    <col min="786" max="786" width="10.08984375" style="2840" customWidth="1"/>
    <col min="787" max="787" width="10" style="2840" customWidth="1"/>
    <col min="788" max="788" width="26.08984375" style="2840" customWidth="1"/>
    <col min="789" max="1024" width="8.90625" style="2840"/>
    <col min="1025" max="1025" width="9.453125" style="2840" customWidth="1"/>
    <col min="1026" max="1026" width="8.90625" style="2840"/>
    <col min="1027" max="1029" width="12.90625" style="2840" customWidth="1"/>
    <col min="1030" max="1030" width="47.453125" style="2840" customWidth="1"/>
    <col min="1031" max="1031" width="13" style="2840" customWidth="1"/>
    <col min="1032" max="1033" width="8.90625" style="2840"/>
    <col min="1034" max="1034" width="5.7265625" style="2840" customWidth="1"/>
    <col min="1035" max="1035" width="11.7265625" style="2840" customWidth="1"/>
    <col min="1036" max="1037" width="10.7265625" style="2840" customWidth="1"/>
    <col min="1038" max="1038" width="10" style="2840" customWidth="1"/>
    <col min="1039" max="1040" width="10.453125" style="2840" bestFit="1" customWidth="1"/>
    <col min="1041" max="1041" width="10" style="2840" customWidth="1"/>
    <col min="1042" max="1042" width="10.08984375" style="2840" customWidth="1"/>
    <col min="1043" max="1043" width="10" style="2840" customWidth="1"/>
    <col min="1044" max="1044" width="26.08984375" style="2840" customWidth="1"/>
    <col min="1045" max="1280" width="8.90625" style="2840"/>
    <col min="1281" max="1281" width="9.453125" style="2840" customWidth="1"/>
    <col min="1282" max="1282" width="8.90625" style="2840"/>
    <col min="1283" max="1285" width="12.90625" style="2840" customWidth="1"/>
    <col min="1286" max="1286" width="47.453125" style="2840" customWidth="1"/>
    <col min="1287" max="1287" width="13" style="2840" customWidth="1"/>
    <col min="1288" max="1289" width="8.90625" style="2840"/>
    <col min="1290" max="1290" width="5.7265625" style="2840" customWidth="1"/>
    <col min="1291" max="1291" width="11.7265625" style="2840" customWidth="1"/>
    <col min="1292" max="1293" width="10.7265625" style="2840" customWidth="1"/>
    <col min="1294" max="1294" width="10" style="2840" customWidth="1"/>
    <col min="1295" max="1296" width="10.453125" style="2840" bestFit="1" customWidth="1"/>
    <col min="1297" max="1297" width="10" style="2840" customWidth="1"/>
    <col min="1298" max="1298" width="10.08984375" style="2840" customWidth="1"/>
    <col min="1299" max="1299" width="10" style="2840" customWidth="1"/>
    <col min="1300" max="1300" width="26.08984375" style="2840" customWidth="1"/>
    <col min="1301" max="1536" width="8.90625" style="2840"/>
    <col min="1537" max="1537" width="9.453125" style="2840" customWidth="1"/>
    <col min="1538" max="1538" width="8.90625" style="2840"/>
    <col min="1539" max="1541" width="12.90625" style="2840" customWidth="1"/>
    <col min="1542" max="1542" width="47.453125" style="2840" customWidth="1"/>
    <col min="1543" max="1543" width="13" style="2840" customWidth="1"/>
    <col min="1544" max="1545" width="8.90625" style="2840"/>
    <col min="1546" max="1546" width="5.7265625" style="2840" customWidth="1"/>
    <col min="1547" max="1547" width="11.7265625" style="2840" customWidth="1"/>
    <col min="1548" max="1549" width="10.7265625" style="2840" customWidth="1"/>
    <col min="1550" max="1550" width="10" style="2840" customWidth="1"/>
    <col min="1551" max="1552" width="10.453125" style="2840" bestFit="1" customWidth="1"/>
    <col min="1553" max="1553" width="10" style="2840" customWidth="1"/>
    <col min="1554" max="1554" width="10.08984375" style="2840" customWidth="1"/>
    <col min="1555" max="1555" width="10" style="2840" customWidth="1"/>
    <col min="1556" max="1556" width="26.08984375" style="2840" customWidth="1"/>
    <col min="1557" max="1792" width="8.90625" style="2840"/>
    <col min="1793" max="1793" width="9.453125" style="2840" customWidth="1"/>
    <col min="1794" max="1794" width="8.90625" style="2840"/>
    <col min="1795" max="1797" width="12.90625" style="2840" customWidth="1"/>
    <col min="1798" max="1798" width="47.453125" style="2840" customWidth="1"/>
    <col min="1799" max="1799" width="13" style="2840" customWidth="1"/>
    <col min="1800" max="1801" width="8.90625" style="2840"/>
    <col min="1802" max="1802" width="5.7265625" style="2840" customWidth="1"/>
    <col min="1803" max="1803" width="11.7265625" style="2840" customWidth="1"/>
    <col min="1804" max="1805" width="10.7265625" style="2840" customWidth="1"/>
    <col min="1806" max="1806" width="10" style="2840" customWidth="1"/>
    <col min="1807" max="1808" width="10.453125" style="2840" bestFit="1" customWidth="1"/>
    <col min="1809" max="1809" width="10" style="2840" customWidth="1"/>
    <col min="1810" max="1810" width="10.08984375" style="2840" customWidth="1"/>
    <col min="1811" max="1811" width="10" style="2840" customWidth="1"/>
    <col min="1812" max="1812" width="26.08984375" style="2840" customWidth="1"/>
    <col min="1813" max="2048" width="8.90625" style="2840"/>
    <col min="2049" max="2049" width="9.453125" style="2840" customWidth="1"/>
    <col min="2050" max="2050" width="8.90625" style="2840"/>
    <col min="2051" max="2053" width="12.90625" style="2840" customWidth="1"/>
    <col min="2054" max="2054" width="47.453125" style="2840" customWidth="1"/>
    <col min="2055" max="2055" width="13" style="2840" customWidth="1"/>
    <col min="2056" max="2057" width="8.90625" style="2840"/>
    <col min="2058" max="2058" width="5.7265625" style="2840" customWidth="1"/>
    <col min="2059" max="2059" width="11.7265625" style="2840" customWidth="1"/>
    <col min="2060" max="2061" width="10.7265625" style="2840" customWidth="1"/>
    <col min="2062" max="2062" width="10" style="2840" customWidth="1"/>
    <col min="2063" max="2064" width="10.453125" style="2840" bestFit="1" customWidth="1"/>
    <col min="2065" max="2065" width="10" style="2840" customWidth="1"/>
    <col min="2066" max="2066" width="10.08984375" style="2840" customWidth="1"/>
    <col min="2067" max="2067" width="10" style="2840" customWidth="1"/>
    <col min="2068" max="2068" width="26.08984375" style="2840" customWidth="1"/>
    <col min="2069" max="2304" width="8.90625" style="2840"/>
    <col min="2305" max="2305" width="9.453125" style="2840" customWidth="1"/>
    <col min="2306" max="2306" width="8.90625" style="2840"/>
    <col min="2307" max="2309" width="12.90625" style="2840" customWidth="1"/>
    <col min="2310" max="2310" width="47.453125" style="2840" customWidth="1"/>
    <col min="2311" max="2311" width="13" style="2840" customWidth="1"/>
    <col min="2312" max="2313" width="8.90625" style="2840"/>
    <col min="2314" max="2314" width="5.7265625" style="2840" customWidth="1"/>
    <col min="2315" max="2315" width="11.7265625" style="2840" customWidth="1"/>
    <col min="2316" max="2317" width="10.7265625" style="2840" customWidth="1"/>
    <col min="2318" max="2318" width="10" style="2840" customWidth="1"/>
    <col min="2319" max="2320" width="10.453125" style="2840" bestFit="1" customWidth="1"/>
    <col min="2321" max="2321" width="10" style="2840" customWidth="1"/>
    <col min="2322" max="2322" width="10.08984375" style="2840" customWidth="1"/>
    <col min="2323" max="2323" width="10" style="2840" customWidth="1"/>
    <col min="2324" max="2324" width="26.08984375" style="2840" customWidth="1"/>
    <col min="2325" max="2560" width="8.90625" style="2840"/>
    <col min="2561" max="2561" width="9.453125" style="2840" customWidth="1"/>
    <col min="2562" max="2562" width="8.90625" style="2840"/>
    <col min="2563" max="2565" width="12.90625" style="2840" customWidth="1"/>
    <col min="2566" max="2566" width="47.453125" style="2840" customWidth="1"/>
    <col min="2567" max="2567" width="13" style="2840" customWidth="1"/>
    <col min="2568" max="2569" width="8.90625" style="2840"/>
    <col min="2570" max="2570" width="5.7265625" style="2840" customWidth="1"/>
    <col min="2571" max="2571" width="11.7265625" style="2840" customWidth="1"/>
    <col min="2572" max="2573" width="10.7265625" style="2840" customWidth="1"/>
    <col min="2574" max="2574" width="10" style="2840" customWidth="1"/>
    <col min="2575" max="2576" width="10.453125" style="2840" bestFit="1" customWidth="1"/>
    <col min="2577" max="2577" width="10" style="2840" customWidth="1"/>
    <col min="2578" max="2578" width="10.08984375" style="2840" customWidth="1"/>
    <col min="2579" max="2579" width="10" style="2840" customWidth="1"/>
    <col min="2580" max="2580" width="26.08984375" style="2840" customWidth="1"/>
    <col min="2581" max="2816" width="8.90625" style="2840"/>
    <col min="2817" max="2817" width="9.453125" style="2840" customWidth="1"/>
    <col min="2818" max="2818" width="8.90625" style="2840"/>
    <col min="2819" max="2821" width="12.90625" style="2840" customWidth="1"/>
    <col min="2822" max="2822" width="47.453125" style="2840" customWidth="1"/>
    <col min="2823" max="2823" width="13" style="2840" customWidth="1"/>
    <col min="2824" max="2825" width="8.90625" style="2840"/>
    <col min="2826" max="2826" width="5.7265625" style="2840" customWidth="1"/>
    <col min="2827" max="2827" width="11.7265625" style="2840" customWidth="1"/>
    <col min="2828" max="2829" width="10.7265625" style="2840" customWidth="1"/>
    <col min="2830" max="2830" width="10" style="2840" customWidth="1"/>
    <col min="2831" max="2832" width="10.453125" style="2840" bestFit="1" customWidth="1"/>
    <col min="2833" max="2833" width="10" style="2840" customWidth="1"/>
    <col min="2834" max="2834" width="10.08984375" style="2840" customWidth="1"/>
    <col min="2835" max="2835" width="10" style="2840" customWidth="1"/>
    <col min="2836" max="2836" width="26.08984375" style="2840" customWidth="1"/>
    <col min="2837" max="3072" width="8.90625" style="2840"/>
    <col min="3073" max="3073" width="9.453125" style="2840" customWidth="1"/>
    <col min="3074" max="3074" width="8.90625" style="2840"/>
    <col min="3075" max="3077" width="12.90625" style="2840" customWidth="1"/>
    <col min="3078" max="3078" width="47.453125" style="2840" customWidth="1"/>
    <col min="3079" max="3079" width="13" style="2840" customWidth="1"/>
    <col min="3080" max="3081" width="8.90625" style="2840"/>
    <col min="3082" max="3082" width="5.7265625" style="2840" customWidth="1"/>
    <col min="3083" max="3083" width="11.7265625" style="2840" customWidth="1"/>
    <col min="3084" max="3085" width="10.7265625" style="2840" customWidth="1"/>
    <col min="3086" max="3086" width="10" style="2840" customWidth="1"/>
    <col min="3087" max="3088" width="10.453125" style="2840" bestFit="1" customWidth="1"/>
    <col min="3089" max="3089" width="10" style="2840" customWidth="1"/>
    <col min="3090" max="3090" width="10.08984375" style="2840" customWidth="1"/>
    <col min="3091" max="3091" width="10" style="2840" customWidth="1"/>
    <col min="3092" max="3092" width="26.08984375" style="2840" customWidth="1"/>
    <col min="3093" max="3328" width="8.90625" style="2840"/>
    <col min="3329" max="3329" width="9.453125" style="2840" customWidth="1"/>
    <col min="3330" max="3330" width="8.90625" style="2840"/>
    <col min="3331" max="3333" width="12.90625" style="2840" customWidth="1"/>
    <col min="3334" max="3334" width="47.453125" style="2840" customWidth="1"/>
    <col min="3335" max="3335" width="13" style="2840" customWidth="1"/>
    <col min="3336" max="3337" width="8.90625" style="2840"/>
    <col min="3338" max="3338" width="5.7265625" style="2840" customWidth="1"/>
    <col min="3339" max="3339" width="11.7265625" style="2840" customWidth="1"/>
    <col min="3340" max="3341" width="10.7265625" style="2840" customWidth="1"/>
    <col min="3342" max="3342" width="10" style="2840" customWidth="1"/>
    <col min="3343" max="3344" width="10.453125" style="2840" bestFit="1" customWidth="1"/>
    <col min="3345" max="3345" width="10" style="2840" customWidth="1"/>
    <col min="3346" max="3346" width="10.08984375" style="2840" customWidth="1"/>
    <col min="3347" max="3347" width="10" style="2840" customWidth="1"/>
    <col min="3348" max="3348" width="26.08984375" style="2840" customWidth="1"/>
    <col min="3349" max="3584" width="8.90625" style="2840"/>
    <col min="3585" max="3585" width="9.453125" style="2840" customWidth="1"/>
    <col min="3586" max="3586" width="8.90625" style="2840"/>
    <col min="3587" max="3589" width="12.90625" style="2840" customWidth="1"/>
    <col min="3590" max="3590" width="47.453125" style="2840" customWidth="1"/>
    <col min="3591" max="3591" width="13" style="2840" customWidth="1"/>
    <col min="3592" max="3593" width="8.90625" style="2840"/>
    <col min="3594" max="3594" width="5.7265625" style="2840" customWidth="1"/>
    <col min="3595" max="3595" width="11.7265625" style="2840" customWidth="1"/>
    <col min="3596" max="3597" width="10.7265625" style="2840" customWidth="1"/>
    <col min="3598" max="3598" width="10" style="2840" customWidth="1"/>
    <col min="3599" max="3600" width="10.453125" style="2840" bestFit="1" customWidth="1"/>
    <col min="3601" max="3601" width="10" style="2840" customWidth="1"/>
    <col min="3602" max="3602" width="10.08984375" style="2840" customWidth="1"/>
    <col min="3603" max="3603" width="10" style="2840" customWidth="1"/>
    <col min="3604" max="3604" width="26.08984375" style="2840" customWidth="1"/>
    <col min="3605" max="3840" width="8.90625" style="2840"/>
    <col min="3841" max="3841" width="9.453125" style="2840" customWidth="1"/>
    <col min="3842" max="3842" width="8.90625" style="2840"/>
    <col min="3843" max="3845" width="12.90625" style="2840" customWidth="1"/>
    <col min="3846" max="3846" width="47.453125" style="2840" customWidth="1"/>
    <col min="3847" max="3847" width="13" style="2840" customWidth="1"/>
    <col min="3848" max="3849" width="8.90625" style="2840"/>
    <col min="3850" max="3850" width="5.7265625" style="2840" customWidth="1"/>
    <col min="3851" max="3851" width="11.7265625" style="2840" customWidth="1"/>
    <col min="3852" max="3853" width="10.7265625" style="2840" customWidth="1"/>
    <col min="3854" max="3854" width="10" style="2840" customWidth="1"/>
    <col min="3855" max="3856" width="10.453125" style="2840" bestFit="1" customWidth="1"/>
    <col min="3857" max="3857" width="10" style="2840" customWidth="1"/>
    <col min="3858" max="3858" width="10.08984375" style="2840" customWidth="1"/>
    <col min="3859" max="3859" width="10" style="2840" customWidth="1"/>
    <col min="3860" max="3860" width="26.08984375" style="2840" customWidth="1"/>
    <col min="3861" max="4096" width="8.90625" style="2840"/>
    <col min="4097" max="4097" width="9.453125" style="2840" customWidth="1"/>
    <col min="4098" max="4098" width="8.90625" style="2840"/>
    <col min="4099" max="4101" width="12.90625" style="2840" customWidth="1"/>
    <col min="4102" max="4102" width="47.453125" style="2840" customWidth="1"/>
    <col min="4103" max="4103" width="13" style="2840" customWidth="1"/>
    <col min="4104" max="4105" width="8.90625" style="2840"/>
    <col min="4106" max="4106" width="5.7265625" style="2840" customWidth="1"/>
    <col min="4107" max="4107" width="11.7265625" style="2840" customWidth="1"/>
    <col min="4108" max="4109" width="10.7265625" style="2840" customWidth="1"/>
    <col min="4110" max="4110" width="10" style="2840" customWidth="1"/>
    <col min="4111" max="4112" width="10.453125" style="2840" bestFit="1" customWidth="1"/>
    <col min="4113" max="4113" width="10" style="2840" customWidth="1"/>
    <col min="4114" max="4114" width="10.08984375" style="2840" customWidth="1"/>
    <col min="4115" max="4115" width="10" style="2840" customWidth="1"/>
    <col min="4116" max="4116" width="26.08984375" style="2840" customWidth="1"/>
    <col min="4117" max="4352" width="8.90625" style="2840"/>
    <col min="4353" max="4353" width="9.453125" style="2840" customWidth="1"/>
    <col min="4354" max="4354" width="8.90625" style="2840"/>
    <col min="4355" max="4357" width="12.90625" style="2840" customWidth="1"/>
    <col min="4358" max="4358" width="47.453125" style="2840" customWidth="1"/>
    <col min="4359" max="4359" width="13" style="2840" customWidth="1"/>
    <col min="4360" max="4361" width="8.90625" style="2840"/>
    <col min="4362" max="4362" width="5.7265625" style="2840" customWidth="1"/>
    <col min="4363" max="4363" width="11.7265625" style="2840" customWidth="1"/>
    <col min="4364" max="4365" width="10.7265625" style="2840" customWidth="1"/>
    <col min="4366" max="4366" width="10" style="2840" customWidth="1"/>
    <col min="4367" max="4368" width="10.453125" style="2840" bestFit="1" customWidth="1"/>
    <col min="4369" max="4369" width="10" style="2840" customWidth="1"/>
    <col min="4370" max="4370" width="10.08984375" style="2840" customWidth="1"/>
    <col min="4371" max="4371" width="10" style="2840" customWidth="1"/>
    <col min="4372" max="4372" width="26.08984375" style="2840" customWidth="1"/>
    <col min="4373" max="4608" width="8.90625" style="2840"/>
    <col min="4609" max="4609" width="9.453125" style="2840" customWidth="1"/>
    <col min="4610" max="4610" width="8.90625" style="2840"/>
    <col min="4611" max="4613" width="12.90625" style="2840" customWidth="1"/>
    <col min="4614" max="4614" width="47.453125" style="2840" customWidth="1"/>
    <col min="4615" max="4615" width="13" style="2840" customWidth="1"/>
    <col min="4616" max="4617" width="8.90625" style="2840"/>
    <col min="4618" max="4618" width="5.7265625" style="2840" customWidth="1"/>
    <col min="4619" max="4619" width="11.7265625" style="2840" customWidth="1"/>
    <col min="4620" max="4621" width="10.7265625" style="2840" customWidth="1"/>
    <col min="4622" max="4622" width="10" style="2840" customWidth="1"/>
    <col min="4623" max="4624" width="10.453125" style="2840" bestFit="1" customWidth="1"/>
    <col min="4625" max="4625" width="10" style="2840" customWidth="1"/>
    <col min="4626" max="4626" width="10.08984375" style="2840" customWidth="1"/>
    <col min="4627" max="4627" width="10" style="2840" customWidth="1"/>
    <col min="4628" max="4628" width="26.08984375" style="2840" customWidth="1"/>
    <col min="4629" max="4864" width="8.90625" style="2840"/>
    <col min="4865" max="4865" width="9.453125" style="2840" customWidth="1"/>
    <col min="4866" max="4866" width="8.90625" style="2840"/>
    <col min="4867" max="4869" width="12.90625" style="2840" customWidth="1"/>
    <col min="4870" max="4870" width="47.453125" style="2840" customWidth="1"/>
    <col min="4871" max="4871" width="13" style="2840" customWidth="1"/>
    <col min="4872" max="4873" width="8.90625" style="2840"/>
    <col min="4874" max="4874" width="5.7265625" style="2840" customWidth="1"/>
    <col min="4875" max="4875" width="11.7265625" style="2840" customWidth="1"/>
    <col min="4876" max="4877" width="10.7265625" style="2840" customWidth="1"/>
    <col min="4878" max="4878" width="10" style="2840" customWidth="1"/>
    <col min="4879" max="4880" width="10.453125" style="2840" bestFit="1" customWidth="1"/>
    <col min="4881" max="4881" width="10" style="2840" customWidth="1"/>
    <col min="4882" max="4882" width="10.08984375" style="2840" customWidth="1"/>
    <col min="4883" max="4883" width="10" style="2840" customWidth="1"/>
    <col min="4884" max="4884" width="26.08984375" style="2840" customWidth="1"/>
    <col min="4885" max="5120" width="8.90625" style="2840"/>
    <col min="5121" max="5121" width="9.453125" style="2840" customWidth="1"/>
    <col min="5122" max="5122" width="8.90625" style="2840"/>
    <col min="5123" max="5125" width="12.90625" style="2840" customWidth="1"/>
    <col min="5126" max="5126" width="47.453125" style="2840" customWidth="1"/>
    <col min="5127" max="5127" width="13" style="2840" customWidth="1"/>
    <col min="5128" max="5129" width="8.90625" style="2840"/>
    <col min="5130" max="5130" width="5.7265625" style="2840" customWidth="1"/>
    <col min="5131" max="5131" width="11.7265625" style="2840" customWidth="1"/>
    <col min="5132" max="5133" width="10.7265625" style="2840" customWidth="1"/>
    <col min="5134" max="5134" width="10" style="2840" customWidth="1"/>
    <col min="5135" max="5136" width="10.453125" style="2840" bestFit="1" customWidth="1"/>
    <col min="5137" max="5137" width="10" style="2840" customWidth="1"/>
    <col min="5138" max="5138" width="10.08984375" style="2840" customWidth="1"/>
    <col min="5139" max="5139" width="10" style="2840" customWidth="1"/>
    <col min="5140" max="5140" width="26.08984375" style="2840" customWidth="1"/>
    <col min="5141" max="5376" width="8.90625" style="2840"/>
    <col min="5377" max="5377" width="9.453125" style="2840" customWidth="1"/>
    <col min="5378" max="5378" width="8.90625" style="2840"/>
    <col min="5379" max="5381" width="12.90625" style="2840" customWidth="1"/>
    <col min="5382" max="5382" width="47.453125" style="2840" customWidth="1"/>
    <col min="5383" max="5383" width="13" style="2840" customWidth="1"/>
    <col min="5384" max="5385" width="8.90625" style="2840"/>
    <col min="5386" max="5386" width="5.7265625" style="2840" customWidth="1"/>
    <col min="5387" max="5387" width="11.7265625" style="2840" customWidth="1"/>
    <col min="5388" max="5389" width="10.7265625" style="2840" customWidth="1"/>
    <col min="5390" max="5390" width="10" style="2840" customWidth="1"/>
    <col min="5391" max="5392" width="10.453125" style="2840" bestFit="1" customWidth="1"/>
    <col min="5393" max="5393" width="10" style="2840" customWidth="1"/>
    <col min="5394" max="5394" width="10.08984375" style="2840" customWidth="1"/>
    <col min="5395" max="5395" width="10" style="2840" customWidth="1"/>
    <col min="5396" max="5396" width="26.08984375" style="2840" customWidth="1"/>
    <col min="5397" max="5632" width="8.90625" style="2840"/>
    <col min="5633" max="5633" width="9.453125" style="2840" customWidth="1"/>
    <col min="5634" max="5634" width="8.90625" style="2840"/>
    <col min="5635" max="5637" width="12.90625" style="2840" customWidth="1"/>
    <col min="5638" max="5638" width="47.453125" style="2840" customWidth="1"/>
    <col min="5639" max="5639" width="13" style="2840" customWidth="1"/>
    <col min="5640" max="5641" width="8.90625" style="2840"/>
    <col min="5642" max="5642" width="5.7265625" style="2840" customWidth="1"/>
    <col min="5643" max="5643" width="11.7265625" style="2840" customWidth="1"/>
    <col min="5644" max="5645" width="10.7265625" style="2840" customWidth="1"/>
    <col min="5646" max="5646" width="10" style="2840" customWidth="1"/>
    <col min="5647" max="5648" width="10.453125" style="2840" bestFit="1" customWidth="1"/>
    <col min="5649" max="5649" width="10" style="2840" customWidth="1"/>
    <col min="5650" max="5650" width="10.08984375" style="2840" customWidth="1"/>
    <col min="5651" max="5651" width="10" style="2840" customWidth="1"/>
    <col min="5652" max="5652" width="26.08984375" style="2840" customWidth="1"/>
    <col min="5653" max="5888" width="8.90625" style="2840"/>
    <col min="5889" max="5889" width="9.453125" style="2840" customWidth="1"/>
    <col min="5890" max="5890" width="8.90625" style="2840"/>
    <col min="5891" max="5893" width="12.90625" style="2840" customWidth="1"/>
    <col min="5894" max="5894" width="47.453125" style="2840" customWidth="1"/>
    <col min="5895" max="5895" width="13" style="2840" customWidth="1"/>
    <col min="5896" max="5897" width="8.90625" style="2840"/>
    <col min="5898" max="5898" width="5.7265625" style="2840" customWidth="1"/>
    <col min="5899" max="5899" width="11.7265625" style="2840" customWidth="1"/>
    <col min="5900" max="5901" width="10.7265625" style="2840" customWidth="1"/>
    <col min="5902" max="5902" width="10" style="2840" customWidth="1"/>
    <col min="5903" max="5904" width="10.453125" style="2840" bestFit="1" customWidth="1"/>
    <col min="5905" max="5905" width="10" style="2840" customWidth="1"/>
    <col min="5906" max="5906" width="10.08984375" style="2840" customWidth="1"/>
    <col min="5907" max="5907" width="10" style="2840" customWidth="1"/>
    <col min="5908" max="5908" width="26.08984375" style="2840" customWidth="1"/>
    <col min="5909" max="6144" width="8.90625" style="2840"/>
    <col min="6145" max="6145" width="9.453125" style="2840" customWidth="1"/>
    <col min="6146" max="6146" width="8.90625" style="2840"/>
    <col min="6147" max="6149" width="12.90625" style="2840" customWidth="1"/>
    <col min="6150" max="6150" width="47.453125" style="2840" customWidth="1"/>
    <col min="6151" max="6151" width="13" style="2840" customWidth="1"/>
    <col min="6152" max="6153" width="8.90625" style="2840"/>
    <col min="6154" max="6154" width="5.7265625" style="2840" customWidth="1"/>
    <col min="6155" max="6155" width="11.7265625" style="2840" customWidth="1"/>
    <col min="6156" max="6157" width="10.7265625" style="2840" customWidth="1"/>
    <col min="6158" max="6158" width="10" style="2840" customWidth="1"/>
    <col min="6159" max="6160" width="10.453125" style="2840" bestFit="1" customWidth="1"/>
    <col min="6161" max="6161" width="10" style="2840" customWidth="1"/>
    <col min="6162" max="6162" width="10.08984375" style="2840" customWidth="1"/>
    <col min="6163" max="6163" width="10" style="2840" customWidth="1"/>
    <col min="6164" max="6164" width="26.08984375" style="2840" customWidth="1"/>
    <col min="6165" max="6400" width="8.90625" style="2840"/>
    <col min="6401" max="6401" width="9.453125" style="2840" customWidth="1"/>
    <col min="6402" max="6402" width="8.90625" style="2840"/>
    <col min="6403" max="6405" width="12.90625" style="2840" customWidth="1"/>
    <col min="6406" max="6406" width="47.453125" style="2840" customWidth="1"/>
    <col min="6407" max="6407" width="13" style="2840" customWidth="1"/>
    <col min="6408" max="6409" width="8.90625" style="2840"/>
    <col min="6410" max="6410" width="5.7265625" style="2840" customWidth="1"/>
    <col min="6411" max="6411" width="11.7265625" style="2840" customWidth="1"/>
    <col min="6412" max="6413" width="10.7265625" style="2840" customWidth="1"/>
    <col min="6414" max="6414" width="10" style="2840" customWidth="1"/>
    <col min="6415" max="6416" width="10.453125" style="2840" bestFit="1" customWidth="1"/>
    <col min="6417" max="6417" width="10" style="2840" customWidth="1"/>
    <col min="6418" max="6418" width="10.08984375" style="2840" customWidth="1"/>
    <col min="6419" max="6419" width="10" style="2840" customWidth="1"/>
    <col min="6420" max="6420" width="26.08984375" style="2840" customWidth="1"/>
    <col min="6421" max="6656" width="8.90625" style="2840"/>
    <col min="6657" max="6657" width="9.453125" style="2840" customWidth="1"/>
    <col min="6658" max="6658" width="8.90625" style="2840"/>
    <col min="6659" max="6661" width="12.90625" style="2840" customWidth="1"/>
    <col min="6662" max="6662" width="47.453125" style="2840" customWidth="1"/>
    <col min="6663" max="6663" width="13" style="2840" customWidth="1"/>
    <col min="6664" max="6665" width="8.90625" style="2840"/>
    <col min="6666" max="6666" width="5.7265625" style="2840" customWidth="1"/>
    <col min="6667" max="6667" width="11.7265625" style="2840" customWidth="1"/>
    <col min="6668" max="6669" width="10.7265625" style="2840" customWidth="1"/>
    <col min="6670" max="6670" width="10" style="2840" customWidth="1"/>
    <col min="6671" max="6672" width="10.453125" style="2840" bestFit="1" customWidth="1"/>
    <col min="6673" max="6673" width="10" style="2840" customWidth="1"/>
    <col min="6674" max="6674" width="10.08984375" style="2840" customWidth="1"/>
    <col min="6675" max="6675" width="10" style="2840" customWidth="1"/>
    <col min="6676" max="6676" width="26.08984375" style="2840" customWidth="1"/>
    <col min="6677" max="6912" width="8.90625" style="2840"/>
    <col min="6913" max="6913" width="9.453125" style="2840" customWidth="1"/>
    <col min="6914" max="6914" width="8.90625" style="2840"/>
    <col min="6915" max="6917" width="12.90625" style="2840" customWidth="1"/>
    <col min="6918" max="6918" width="47.453125" style="2840" customWidth="1"/>
    <col min="6919" max="6919" width="13" style="2840" customWidth="1"/>
    <col min="6920" max="6921" width="8.90625" style="2840"/>
    <col min="6922" max="6922" width="5.7265625" style="2840" customWidth="1"/>
    <col min="6923" max="6923" width="11.7265625" style="2840" customWidth="1"/>
    <col min="6924" max="6925" width="10.7265625" style="2840" customWidth="1"/>
    <col min="6926" max="6926" width="10" style="2840" customWidth="1"/>
    <col min="6927" max="6928" width="10.453125" style="2840" bestFit="1" customWidth="1"/>
    <col min="6929" max="6929" width="10" style="2840" customWidth="1"/>
    <col min="6930" max="6930" width="10.08984375" style="2840" customWidth="1"/>
    <col min="6931" max="6931" width="10" style="2840" customWidth="1"/>
    <col min="6932" max="6932" width="26.08984375" style="2840" customWidth="1"/>
    <col min="6933" max="7168" width="8.90625" style="2840"/>
    <col min="7169" max="7169" width="9.453125" style="2840" customWidth="1"/>
    <col min="7170" max="7170" width="8.90625" style="2840"/>
    <col min="7171" max="7173" width="12.90625" style="2840" customWidth="1"/>
    <col min="7174" max="7174" width="47.453125" style="2840" customWidth="1"/>
    <col min="7175" max="7175" width="13" style="2840" customWidth="1"/>
    <col min="7176" max="7177" width="8.90625" style="2840"/>
    <col min="7178" max="7178" width="5.7265625" style="2840" customWidth="1"/>
    <col min="7179" max="7179" width="11.7265625" style="2840" customWidth="1"/>
    <col min="7180" max="7181" width="10.7265625" style="2840" customWidth="1"/>
    <col min="7182" max="7182" width="10" style="2840" customWidth="1"/>
    <col min="7183" max="7184" width="10.453125" style="2840" bestFit="1" customWidth="1"/>
    <col min="7185" max="7185" width="10" style="2840" customWidth="1"/>
    <col min="7186" max="7186" width="10.08984375" style="2840" customWidth="1"/>
    <col min="7187" max="7187" width="10" style="2840" customWidth="1"/>
    <col min="7188" max="7188" width="26.08984375" style="2840" customWidth="1"/>
    <col min="7189" max="7424" width="8.90625" style="2840"/>
    <col min="7425" max="7425" width="9.453125" style="2840" customWidth="1"/>
    <col min="7426" max="7426" width="8.90625" style="2840"/>
    <col min="7427" max="7429" width="12.90625" style="2840" customWidth="1"/>
    <col min="7430" max="7430" width="47.453125" style="2840" customWidth="1"/>
    <col min="7431" max="7431" width="13" style="2840" customWidth="1"/>
    <col min="7432" max="7433" width="8.90625" style="2840"/>
    <col min="7434" max="7434" width="5.7265625" style="2840" customWidth="1"/>
    <col min="7435" max="7435" width="11.7265625" style="2840" customWidth="1"/>
    <col min="7436" max="7437" width="10.7265625" style="2840" customWidth="1"/>
    <col min="7438" max="7438" width="10" style="2840" customWidth="1"/>
    <col min="7439" max="7440" width="10.453125" style="2840" bestFit="1" customWidth="1"/>
    <col min="7441" max="7441" width="10" style="2840" customWidth="1"/>
    <col min="7442" max="7442" width="10.08984375" style="2840" customWidth="1"/>
    <col min="7443" max="7443" width="10" style="2840" customWidth="1"/>
    <col min="7444" max="7444" width="26.08984375" style="2840" customWidth="1"/>
    <col min="7445" max="7680" width="8.90625" style="2840"/>
    <col min="7681" max="7681" width="9.453125" style="2840" customWidth="1"/>
    <col min="7682" max="7682" width="8.90625" style="2840"/>
    <col min="7683" max="7685" width="12.90625" style="2840" customWidth="1"/>
    <col min="7686" max="7686" width="47.453125" style="2840" customWidth="1"/>
    <col min="7687" max="7687" width="13" style="2840" customWidth="1"/>
    <col min="7688" max="7689" width="8.90625" style="2840"/>
    <col min="7690" max="7690" width="5.7265625" style="2840" customWidth="1"/>
    <col min="7691" max="7691" width="11.7265625" style="2840" customWidth="1"/>
    <col min="7692" max="7693" width="10.7265625" style="2840" customWidth="1"/>
    <col min="7694" max="7694" width="10" style="2840" customWidth="1"/>
    <col min="7695" max="7696" width="10.453125" style="2840" bestFit="1" customWidth="1"/>
    <col min="7697" max="7697" width="10" style="2840" customWidth="1"/>
    <col min="7698" max="7698" width="10.08984375" style="2840" customWidth="1"/>
    <col min="7699" max="7699" width="10" style="2840" customWidth="1"/>
    <col min="7700" max="7700" width="26.08984375" style="2840" customWidth="1"/>
    <col min="7701" max="7936" width="8.90625" style="2840"/>
    <col min="7937" max="7937" width="9.453125" style="2840" customWidth="1"/>
    <col min="7938" max="7938" width="8.90625" style="2840"/>
    <col min="7939" max="7941" width="12.90625" style="2840" customWidth="1"/>
    <col min="7942" max="7942" width="47.453125" style="2840" customWidth="1"/>
    <col min="7943" max="7943" width="13" style="2840" customWidth="1"/>
    <col min="7944" max="7945" width="8.90625" style="2840"/>
    <col min="7946" max="7946" width="5.7265625" style="2840" customWidth="1"/>
    <col min="7947" max="7947" width="11.7265625" style="2840" customWidth="1"/>
    <col min="7948" max="7949" width="10.7265625" style="2840" customWidth="1"/>
    <col min="7950" max="7950" width="10" style="2840" customWidth="1"/>
    <col min="7951" max="7952" width="10.453125" style="2840" bestFit="1" customWidth="1"/>
    <col min="7953" max="7953" width="10" style="2840" customWidth="1"/>
    <col min="7954" max="7954" width="10.08984375" style="2840" customWidth="1"/>
    <col min="7955" max="7955" width="10" style="2840" customWidth="1"/>
    <col min="7956" max="7956" width="26.08984375" style="2840" customWidth="1"/>
    <col min="7957" max="8192" width="8.90625" style="2840"/>
    <col min="8193" max="8193" width="9.453125" style="2840" customWidth="1"/>
    <col min="8194" max="8194" width="8.90625" style="2840"/>
    <col min="8195" max="8197" width="12.90625" style="2840" customWidth="1"/>
    <col min="8198" max="8198" width="47.453125" style="2840" customWidth="1"/>
    <col min="8199" max="8199" width="13" style="2840" customWidth="1"/>
    <col min="8200" max="8201" width="8.90625" style="2840"/>
    <col min="8202" max="8202" width="5.7265625" style="2840" customWidth="1"/>
    <col min="8203" max="8203" width="11.7265625" style="2840" customWidth="1"/>
    <col min="8204" max="8205" width="10.7265625" style="2840" customWidth="1"/>
    <col min="8206" max="8206" width="10" style="2840" customWidth="1"/>
    <col min="8207" max="8208" width="10.453125" style="2840" bestFit="1" customWidth="1"/>
    <col min="8209" max="8209" width="10" style="2840" customWidth="1"/>
    <col min="8210" max="8210" width="10.08984375" style="2840" customWidth="1"/>
    <col min="8211" max="8211" width="10" style="2840" customWidth="1"/>
    <col min="8212" max="8212" width="26.08984375" style="2840" customWidth="1"/>
    <col min="8213" max="8448" width="8.90625" style="2840"/>
    <col min="8449" max="8449" width="9.453125" style="2840" customWidth="1"/>
    <col min="8450" max="8450" width="8.90625" style="2840"/>
    <col min="8451" max="8453" width="12.90625" style="2840" customWidth="1"/>
    <col min="8454" max="8454" width="47.453125" style="2840" customWidth="1"/>
    <col min="8455" max="8455" width="13" style="2840" customWidth="1"/>
    <col min="8456" max="8457" width="8.90625" style="2840"/>
    <col min="8458" max="8458" width="5.7265625" style="2840" customWidth="1"/>
    <col min="8459" max="8459" width="11.7265625" style="2840" customWidth="1"/>
    <col min="8460" max="8461" width="10.7265625" style="2840" customWidth="1"/>
    <col min="8462" max="8462" width="10" style="2840" customWidth="1"/>
    <col min="8463" max="8464" width="10.453125" style="2840" bestFit="1" customWidth="1"/>
    <col min="8465" max="8465" width="10" style="2840" customWidth="1"/>
    <col min="8466" max="8466" width="10.08984375" style="2840" customWidth="1"/>
    <col min="8467" max="8467" width="10" style="2840" customWidth="1"/>
    <col min="8468" max="8468" width="26.08984375" style="2840" customWidth="1"/>
    <col min="8469" max="8704" width="8.90625" style="2840"/>
    <col min="8705" max="8705" width="9.453125" style="2840" customWidth="1"/>
    <col min="8706" max="8706" width="8.90625" style="2840"/>
    <col min="8707" max="8709" width="12.90625" style="2840" customWidth="1"/>
    <col min="8710" max="8710" width="47.453125" style="2840" customWidth="1"/>
    <col min="8711" max="8711" width="13" style="2840" customWidth="1"/>
    <col min="8712" max="8713" width="8.90625" style="2840"/>
    <col min="8714" max="8714" width="5.7265625" style="2840" customWidth="1"/>
    <col min="8715" max="8715" width="11.7265625" style="2840" customWidth="1"/>
    <col min="8716" max="8717" width="10.7265625" style="2840" customWidth="1"/>
    <col min="8718" max="8718" width="10" style="2840" customWidth="1"/>
    <col min="8719" max="8720" width="10.453125" style="2840" bestFit="1" customWidth="1"/>
    <col min="8721" max="8721" width="10" style="2840" customWidth="1"/>
    <col min="8722" max="8722" width="10.08984375" style="2840" customWidth="1"/>
    <col min="8723" max="8723" width="10" style="2840" customWidth="1"/>
    <col min="8724" max="8724" width="26.08984375" style="2840" customWidth="1"/>
    <col min="8725" max="8960" width="8.90625" style="2840"/>
    <col min="8961" max="8961" width="9.453125" style="2840" customWidth="1"/>
    <col min="8962" max="8962" width="8.90625" style="2840"/>
    <col min="8963" max="8965" width="12.90625" style="2840" customWidth="1"/>
    <col min="8966" max="8966" width="47.453125" style="2840" customWidth="1"/>
    <col min="8967" max="8967" width="13" style="2840" customWidth="1"/>
    <col min="8968" max="8969" width="8.90625" style="2840"/>
    <col min="8970" max="8970" width="5.7265625" style="2840" customWidth="1"/>
    <col min="8971" max="8971" width="11.7265625" style="2840" customWidth="1"/>
    <col min="8972" max="8973" width="10.7265625" style="2840" customWidth="1"/>
    <col min="8974" max="8974" width="10" style="2840" customWidth="1"/>
    <col min="8975" max="8976" width="10.453125" style="2840" bestFit="1" customWidth="1"/>
    <col min="8977" max="8977" width="10" style="2840" customWidth="1"/>
    <col min="8978" max="8978" width="10.08984375" style="2840" customWidth="1"/>
    <col min="8979" max="8979" width="10" style="2840" customWidth="1"/>
    <col min="8980" max="8980" width="26.08984375" style="2840" customWidth="1"/>
    <col min="8981" max="9216" width="8.90625" style="2840"/>
    <col min="9217" max="9217" width="9.453125" style="2840" customWidth="1"/>
    <col min="9218" max="9218" width="8.90625" style="2840"/>
    <col min="9219" max="9221" width="12.90625" style="2840" customWidth="1"/>
    <col min="9222" max="9222" width="47.453125" style="2840" customWidth="1"/>
    <col min="9223" max="9223" width="13" style="2840" customWidth="1"/>
    <col min="9224" max="9225" width="8.90625" style="2840"/>
    <col min="9226" max="9226" width="5.7265625" style="2840" customWidth="1"/>
    <col min="9227" max="9227" width="11.7265625" style="2840" customWidth="1"/>
    <col min="9228" max="9229" width="10.7265625" style="2840" customWidth="1"/>
    <col min="9230" max="9230" width="10" style="2840" customWidth="1"/>
    <col min="9231" max="9232" width="10.453125" style="2840" bestFit="1" customWidth="1"/>
    <col min="9233" max="9233" width="10" style="2840" customWidth="1"/>
    <col min="9234" max="9234" width="10.08984375" style="2840" customWidth="1"/>
    <col min="9235" max="9235" width="10" style="2840" customWidth="1"/>
    <col min="9236" max="9236" width="26.08984375" style="2840" customWidth="1"/>
    <col min="9237" max="9472" width="8.90625" style="2840"/>
    <col min="9473" max="9473" width="9.453125" style="2840" customWidth="1"/>
    <col min="9474" max="9474" width="8.90625" style="2840"/>
    <col min="9475" max="9477" width="12.90625" style="2840" customWidth="1"/>
    <col min="9478" max="9478" width="47.453125" style="2840" customWidth="1"/>
    <col min="9479" max="9479" width="13" style="2840" customWidth="1"/>
    <col min="9480" max="9481" width="8.90625" style="2840"/>
    <col min="9482" max="9482" width="5.7265625" style="2840" customWidth="1"/>
    <col min="9483" max="9483" width="11.7265625" style="2840" customWidth="1"/>
    <col min="9484" max="9485" width="10.7265625" style="2840" customWidth="1"/>
    <col min="9486" max="9486" width="10" style="2840" customWidth="1"/>
    <col min="9487" max="9488" width="10.453125" style="2840" bestFit="1" customWidth="1"/>
    <col min="9489" max="9489" width="10" style="2840" customWidth="1"/>
    <col min="9490" max="9490" width="10.08984375" style="2840" customWidth="1"/>
    <col min="9491" max="9491" width="10" style="2840" customWidth="1"/>
    <col min="9492" max="9492" width="26.08984375" style="2840" customWidth="1"/>
    <col min="9493" max="9728" width="8.90625" style="2840"/>
    <col min="9729" max="9729" width="9.453125" style="2840" customWidth="1"/>
    <col min="9730" max="9730" width="8.90625" style="2840"/>
    <col min="9731" max="9733" width="12.90625" style="2840" customWidth="1"/>
    <col min="9734" max="9734" width="47.453125" style="2840" customWidth="1"/>
    <col min="9735" max="9735" width="13" style="2840" customWidth="1"/>
    <col min="9736" max="9737" width="8.90625" style="2840"/>
    <col min="9738" max="9738" width="5.7265625" style="2840" customWidth="1"/>
    <col min="9739" max="9739" width="11.7265625" style="2840" customWidth="1"/>
    <col min="9740" max="9741" width="10.7265625" style="2840" customWidth="1"/>
    <col min="9742" max="9742" width="10" style="2840" customWidth="1"/>
    <col min="9743" max="9744" width="10.453125" style="2840" bestFit="1" customWidth="1"/>
    <col min="9745" max="9745" width="10" style="2840" customWidth="1"/>
    <col min="9746" max="9746" width="10.08984375" style="2840" customWidth="1"/>
    <col min="9747" max="9747" width="10" style="2840" customWidth="1"/>
    <col min="9748" max="9748" width="26.08984375" style="2840" customWidth="1"/>
    <col min="9749" max="9984" width="8.90625" style="2840"/>
    <col min="9985" max="9985" width="9.453125" style="2840" customWidth="1"/>
    <col min="9986" max="9986" width="8.90625" style="2840"/>
    <col min="9987" max="9989" width="12.90625" style="2840" customWidth="1"/>
    <col min="9990" max="9990" width="47.453125" style="2840" customWidth="1"/>
    <col min="9991" max="9991" width="13" style="2840" customWidth="1"/>
    <col min="9992" max="9993" width="8.90625" style="2840"/>
    <col min="9994" max="9994" width="5.7265625" style="2840" customWidth="1"/>
    <col min="9995" max="9995" width="11.7265625" style="2840" customWidth="1"/>
    <col min="9996" max="9997" width="10.7265625" style="2840" customWidth="1"/>
    <col min="9998" max="9998" width="10" style="2840" customWidth="1"/>
    <col min="9999" max="10000" width="10.453125" style="2840" bestFit="1" customWidth="1"/>
    <col min="10001" max="10001" width="10" style="2840" customWidth="1"/>
    <col min="10002" max="10002" width="10.08984375" style="2840" customWidth="1"/>
    <col min="10003" max="10003" width="10" style="2840" customWidth="1"/>
    <col min="10004" max="10004" width="26.08984375" style="2840" customWidth="1"/>
    <col min="10005" max="10240" width="8.90625" style="2840"/>
    <col min="10241" max="10241" width="9.453125" style="2840" customWidth="1"/>
    <col min="10242" max="10242" width="8.90625" style="2840"/>
    <col min="10243" max="10245" width="12.90625" style="2840" customWidth="1"/>
    <col min="10246" max="10246" width="47.453125" style="2840" customWidth="1"/>
    <col min="10247" max="10247" width="13" style="2840" customWidth="1"/>
    <col min="10248" max="10249" width="8.90625" style="2840"/>
    <col min="10250" max="10250" width="5.7265625" style="2840" customWidth="1"/>
    <col min="10251" max="10251" width="11.7265625" style="2840" customWidth="1"/>
    <col min="10252" max="10253" width="10.7265625" style="2840" customWidth="1"/>
    <col min="10254" max="10254" width="10" style="2840" customWidth="1"/>
    <col min="10255" max="10256" width="10.453125" style="2840" bestFit="1" customWidth="1"/>
    <col min="10257" max="10257" width="10" style="2840" customWidth="1"/>
    <col min="10258" max="10258" width="10.08984375" style="2840" customWidth="1"/>
    <col min="10259" max="10259" width="10" style="2840" customWidth="1"/>
    <col min="10260" max="10260" width="26.08984375" style="2840" customWidth="1"/>
    <col min="10261" max="10496" width="8.90625" style="2840"/>
    <col min="10497" max="10497" width="9.453125" style="2840" customWidth="1"/>
    <col min="10498" max="10498" width="8.90625" style="2840"/>
    <col min="10499" max="10501" width="12.90625" style="2840" customWidth="1"/>
    <col min="10502" max="10502" width="47.453125" style="2840" customWidth="1"/>
    <col min="10503" max="10503" width="13" style="2840" customWidth="1"/>
    <col min="10504" max="10505" width="8.90625" style="2840"/>
    <col min="10506" max="10506" width="5.7265625" style="2840" customWidth="1"/>
    <col min="10507" max="10507" width="11.7265625" style="2840" customWidth="1"/>
    <col min="10508" max="10509" width="10.7265625" style="2840" customWidth="1"/>
    <col min="10510" max="10510" width="10" style="2840" customWidth="1"/>
    <col min="10511" max="10512" width="10.453125" style="2840" bestFit="1" customWidth="1"/>
    <col min="10513" max="10513" width="10" style="2840" customWidth="1"/>
    <col min="10514" max="10514" width="10.08984375" style="2840" customWidth="1"/>
    <col min="10515" max="10515" width="10" style="2840" customWidth="1"/>
    <col min="10516" max="10516" width="26.08984375" style="2840" customWidth="1"/>
    <col min="10517" max="10752" width="8.90625" style="2840"/>
    <col min="10753" max="10753" width="9.453125" style="2840" customWidth="1"/>
    <col min="10754" max="10754" width="8.90625" style="2840"/>
    <col min="10755" max="10757" width="12.90625" style="2840" customWidth="1"/>
    <col min="10758" max="10758" width="47.453125" style="2840" customWidth="1"/>
    <col min="10759" max="10759" width="13" style="2840" customWidth="1"/>
    <col min="10760" max="10761" width="8.90625" style="2840"/>
    <col min="10762" max="10762" width="5.7265625" style="2840" customWidth="1"/>
    <col min="10763" max="10763" width="11.7265625" style="2840" customWidth="1"/>
    <col min="10764" max="10765" width="10.7265625" style="2840" customWidth="1"/>
    <col min="10766" max="10766" width="10" style="2840" customWidth="1"/>
    <col min="10767" max="10768" width="10.453125" style="2840" bestFit="1" customWidth="1"/>
    <col min="10769" max="10769" width="10" style="2840" customWidth="1"/>
    <col min="10770" max="10770" width="10.08984375" style="2840" customWidth="1"/>
    <col min="10771" max="10771" width="10" style="2840" customWidth="1"/>
    <col min="10772" max="10772" width="26.08984375" style="2840" customWidth="1"/>
    <col min="10773" max="11008" width="8.90625" style="2840"/>
    <col min="11009" max="11009" width="9.453125" style="2840" customWidth="1"/>
    <col min="11010" max="11010" width="8.90625" style="2840"/>
    <col min="11011" max="11013" width="12.90625" style="2840" customWidth="1"/>
    <col min="11014" max="11014" width="47.453125" style="2840" customWidth="1"/>
    <col min="11015" max="11015" width="13" style="2840" customWidth="1"/>
    <col min="11016" max="11017" width="8.90625" style="2840"/>
    <col min="11018" max="11018" width="5.7265625" style="2840" customWidth="1"/>
    <col min="11019" max="11019" width="11.7265625" style="2840" customWidth="1"/>
    <col min="11020" max="11021" width="10.7265625" style="2840" customWidth="1"/>
    <col min="11022" max="11022" width="10" style="2840" customWidth="1"/>
    <col min="11023" max="11024" width="10.453125" style="2840" bestFit="1" customWidth="1"/>
    <col min="11025" max="11025" width="10" style="2840" customWidth="1"/>
    <col min="11026" max="11026" width="10.08984375" style="2840" customWidth="1"/>
    <col min="11027" max="11027" width="10" style="2840" customWidth="1"/>
    <col min="11028" max="11028" width="26.08984375" style="2840" customWidth="1"/>
    <col min="11029" max="11264" width="8.90625" style="2840"/>
    <col min="11265" max="11265" width="9.453125" style="2840" customWidth="1"/>
    <col min="11266" max="11266" width="8.90625" style="2840"/>
    <col min="11267" max="11269" width="12.90625" style="2840" customWidth="1"/>
    <col min="11270" max="11270" width="47.453125" style="2840" customWidth="1"/>
    <col min="11271" max="11271" width="13" style="2840" customWidth="1"/>
    <col min="11272" max="11273" width="8.90625" style="2840"/>
    <col min="11274" max="11274" width="5.7265625" style="2840" customWidth="1"/>
    <col min="11275" max="11275" width="11.7265625" style="2840" customWidth="1"/>
    <col min="11276" max="11277" width="10.7265625" style="2840" customWidth="1"/>
    <col min="11278" max="11278" width="10" style="2840" customWidth="1"/>
    <col min="11279" max="11280" width="10.453125" style="2840" bestFit="1" customWidth="1"/>
    <col min="11281" max="11281" width="10" style="2840" customWidth="1"/>
    <col min="11282" max="11282" width="10.08984375" style="2840" customWidth="1"/>
    <col min="11283" max="11283" width="10" style="2840" customWidth="1"/>
    <col min="11284" max="11284" width="26.08984375" style="2840" customWidth="1"/>
    <col min="11285" max="11520" width="8.90625" style="2840"/>
    <col min="11521" max="11521" width="9.453125" style="2840" customWidth="1"/>
    <col min="11522" max="11522" width="8.90625" style="2840"/>
    <col min="11523" max="11525" width="12.90625" style="2840" customWidth="1"/>
    <col min="11526" max="11526" width="47.453125" style="2840" customWidth="1"/>
    <col min="11527" max="11527" width="13" style="2840" customWidth="1"/>
    <col min="11528" max="11529" width="8.90625" style="2840"/>
    <col min="11530" max="11530" width="5.7265625" style="2840" customWidth="1"/>
    <col min="11531" max="11531" width="11.7265625" style="2840" customWidth="1"/>
    <col min="11532" max="11533" width="10.7265625" style="2840" customWidth="1"/>
    <col min="11534" max="11534" width="10" style="2840" customWidth="1"/>
    <col min="11535" max="11536" width="10.453125" style="2840" bestFit="1" customWidth="1"/>
    <col min="11537" max="11537" width="10" style="2840" customWidth="1"/>
    <col min="11538" max="11538" width="10.08984375" style="2840" customWidth="1"/>
    <col min="11539" max="11539" width="10" style="2840" customWidth="1"/>
    <col min="11540" max="11540" width="26.08984375" style="2840" customWidth="1"/>
    <col min="11541" max="11776" width="8.90625" style="2840"/>
    <col min="11777" max="11777" width="9.453125" style="2840" customWidth="1"/>
    <col min="11778" max="11778" width="8.90625" style="2840"/>
    <col min="11779" max="11781" width="12.90625" style="2840" customWidth="1"/>
    <col min="11782" max="11782" width="47.453125" style="2840" customWidth="1"/>
    <col min="11783" max="11783" width="13" style="2840" customWidth="1"/>
    <col min="11784" max="11785" width="8.90625" style="2840"/>
    <col min="11786" max="11786" width="5.7265625" style="2840" customWidth="1"/>
    <col min="11787" max="11787" width="11.7265625" style="2840" customWidth="1"/>
    <col min="11788" max="11789" width="10.7265625" style="2840" customWidth="1"/>
    <col min="11790" max="11790" width="10" style="2840" customWidth="1"/>
    <col min="11791" max="11792" width="10.453125" style="2840" bestFit="1" customWidth="1"/>
    <col min="11793" max="11793" width="10" style="2840" customWidth="1"/>
    <col min="11794" max="11794" width="10.08984375" style="2840" customWidth="1"/>
    <col min="11795" max="11795" width="10" style="2840" customWidth="1"/>
    <col min="11796" max="11796" width="26.08984375" style="2840" customWidth="1"/>
    <col min="11797" max="12032" width="8.90625" style="2840"/>
    <col min="12033" max="12033" width="9.453125" style="2840" customWidth="1"/>
    <col min="12034" max="12034" width="8.90625" style="2840"/>
    <col min="12035" max="12037" width="12.90625" style="2840" customWidth="1"/>
    <col min="12038" max="12038" width="47.453125" style="2840" customWidth="1"/>
    <col min="12039" max="12039" width="13" style="2840" customWidth="1"/>
    <col min="12040" max="12041" width="8.90625" style="2840"/>
    <col min="12042" max="12042" width="5.7265625" style="2840" customWidth="1"/>
    <col min="12043" max="12043" width="11.7265625" style="2840" customWidth="1"/>
    <col min="12044" max="12045" width="10.7265625" style="2840" customWidth="1"/>
    <col min="12046" max="12046" width="10" style="2840" customWidth="1"/>
    <col min="12047" max="12048" width="10.453125" style="2840" bestFit="1" customWidth="1"/>
    <col min="12049" max="12049" width="10" style="2840" customWidth="1"/>
    <col min="12050" max="12050" width="10.08984375" style="2840" customWidth="1"/>
    <col min="12051" max="12051" width="10" style="2840" customWidth="1"/>
    <col min="12052" max="12052" width="26.08984375" style="2840" customWidth="1"/>
    <col min="12053" max="12288" width="8.90625" style="2840"/>
    <col min="12289" max="12289" width="9.453125" style="2840" customWidth="1"/>
    <col min="12290" max="12290" width="8.90625" style="2840"/>
    <col min="12291" max="12293" width="12.90625" style="2840" customWidth="1"/>
    <col min="12294" max="12294" width="47.453125" style="2840" customWidth="1"/>
    <col min="12295" max="12295" width="13" style="2840" customWidth="1"/>
    <col min="12296" max="12297" width="8.90625" style="2840"/>
    <col min="12298" max="12298" width="5.7265625" style="2840" customWidth="1"/>
    <col min="12299" max="12299" width="11.7265625" style="2840" customWidth="1"/>
    <col min="12300" max="12301" width="10.7265625" style="2840" customWidth="1"/>
    <col min="12302" max="12302" width="10" style="2840" customWidth="1"/>
    <col min="12303" max="12304" width="10.453125" style="2840" bestFit="1" customWidth="1"/>
    <col min="12305" max="12305" width="10" style="2840" customWidth="1"/>
    <col min="12306" max="12306" width="10.08984375" style="2840" customWidth="1"/>
    <col min="12307" max="12307" width="10" style="2840" customWidth="1"/>
    <col min="12308" max="12308" width="26.08984375" style="2840" customWidth="1"/>
    <col min="12309" max="12544" width="8.90625" style="2840"/>
    <col min="12545" max="12545" width="9.453125" style="2840" customWidth="1"/>
    <col min="12546" max="12546" width="8.90625" style="2840"/>
    <col min="12547" max="12549" width="12.90625" style="2840" customWidth="1"/>
    <col min="12550" max="12550" width="47.453125" style="2840" customWidth="1"/>
    <col min="12551" max="12551" width="13" style="2840" customWidth="1"/>
    <col min="12552" max="12553" width="8.90625" style="2840"/>
    <col min="12554" max="12554" width="5.7265625" style="2840" customWidth="1"/>
    <col min="12555" max="12555" width="11.7265625" style="2840" customWidth="1"/>
    <col min="12556" max="12557" width="10.7265625" style="2840" customWidth="1"/>
    <col min="12558" max="12558" width="10" style="2840" customWidth="1"/>
    <col min="12559" max="12560" width="10.453125" style="2840" bestFit="1" customWidth="1"/>
    <col min="12561" max="12561" width="10" style="2840" customWidth="1"/>
    <col min="12562" max="12562" width="10.08984375" style="2840" customWidth="1"/>
    <col min="12563" max="12563" width="10" style="2840" customWidth="1"/>
    <col min="12564" max="12564" width="26.08984375" style="2840" customWidth="1"/>
    <col min="12565" max="12800" width="8.90625" style="2840"/>
    <col min="12801" max="12801" width="9.453125" style="2840" customWidth="1"/>
    <col min="12802" max="12802" width="8.90625" style="2840"/>
    <col min="12803" max="12805" width="12.90625" style="2840" customWidth="1"/>
    <col min="12806" max="12806" width="47.453125" style="2840" customWidth="1"/>
    <col min="12807" max="12807" width="13" style="2840" customWidth="1"/>
    <col min="12808" max="12809" width="8.90625" style="2840"/>
    <col min="12810" max="12810" width="5.7265625" style="2840" customWidth="1"/>
    <col min="12811" max="12811" width="11.7265625" style="2840" customWidth="1"/>
    <col min="12812" max="12813" width="10.7265625" style="2840" customWidth="1"/>
    <col min="12814" max="12814" width="10" style="2840" customWidth="1"/>
    <col min="12815" max="12816" width="10.453125" style="2840" bestFit="1" customWidth="1"/>
    <col min="12817" max="12817" width="10" style="2840" customWidth="1"/>
    <col min="12818" max="12818" width="10.08984375" style="2840" customWidth="1"/>
    <col min="12819" max="12819" width="10" style="2840" customWidth="1"/>
    <col min="12820" max="12820" width="26.08984375" style="2840" customWidth="1"/>
    <col min="12821" max="13056" width="8.90625" style="2840"/>
    <col min="13057" max="13057" width="9.453125" style="2840" customWidth="1"/>
    <col min="13058" max="13058" width="8.90625" style="2840"/>
    <col min="13059" max="13061" width="12.90625" style="2840" customWidth="1"/>
    <col min="13062" max="13062" width="47.453125" style="2840" customWidth="1"/>
    <col min="13063" max="13063" width="13" style="2840" customWidth="1"/>
    <col min="13064" max="13065" width="8.90625" style="2840"/>
    <col min="13066" max="13066" width="5.7265625" style="2840" customWidth="1"/>
    <col min="13067" max="13067" width="11.7265625" style="2840" customWidth="1"/>
    <col min="13068" max="13069" width="10.7265625" style="2840" customWidth="1"/>
    <col min="13070" max="13070" width="10" style="2840" customWidth="1"/>
    <col min="13071" max="13072" width="10.453125" style="2840" bestFit="1" customWidth="1"/>
    <col min="13073" max="13073" width="10" style="2840" customWidth="1"/>
    <col min="13074" max="13074" width="10.08984375" style="2840" customWidth="1"/>
    <col min="13075" max="13075" width="10" style="2840" customWidth="1"/>
    <col min="13076" max="13076" width="26.08984375" style="2840" customWidth="1"/>
    <col min="13077" max="13312" width="8.90625" style="2840"/>
    <col min="13313" max="13313" width="9.453125" style="2840" customWidth="1"/>
    <col min="13314" max="13314" width="8.90625" style="2840"/>
    <col min="13315" max="13317" width="12.90625" style="2840" customWidth="1"/>
    <col min="13318" max="13318" width="47.453125" style="2840" customWidth="1"/>
    <col min="13319" max="13319" width="13" style="2840" customWidth="1"/>
    <col min="13320" max="13321" width="8.90625" style="2840"/>
    <col min="13322" max="13322" width="5.7265625" style="2840" customWidth="1"/>
    <col min="13323" max="13323" width="11.7265625" style="2840" customWidth="1"/>
    <col min="13324" max="13325" width="10.7265625" style="2840" customWidth="1"/>
    <col min="13326" max="13326" width="10" style="2840" customWidth="1"/>
    <col min="13327" max="13328" width="10.453125" style="2840" bestFit="1" customWidth="1"/>
    <col min="13329" max="13329" width="10" style="2840" customWidth="1"/>
    <col min="13330" max="13330" width="10.08984375" style="2840" customWidth="1"/>
    <col min="13331" max="13331" width="10" style="2840" customWidth="1"/>
    <col min="13332" max="13332" width="26.08984375" style="2840" customWidth="1"/>
    <col min="13333" max="13568" width="8.90625" style="2840"/>
    <col min="13569" max="13569" width="9.453125" style="2840" customWidth="1"/>
    <col min="13570" max="13570" width="8.90625" style="2840"/>
    <col min="13571" max="13573" width="12.90625" style="2840" customWidth="1"/>
    <col min="13574" max="13574" width="47.453125" style="2840" customWidth="1"/>
    <col min="13575" max="13575" width="13" style="2840" customWidth="1"/>
    <col min="13576" max="13577" width="8.90625" style="2840"/>
    <col min="13578" max="13578" width="5.7265625" style="2840" customWidth="1"/>
    <col min="13579" max="13579" width="11.7265625" style="2840" customWidth="1"/>
    <col min="13580" max="13581" width="10.7265625" style="2840" customWidth="1"/>
    <col min="13582" max="13582" width="10" style="2840" customWidth="1"/>
    <col min="13583" max="13584" width="10.453125" style="2840" bestFit="1" customWidth="1"/>
    <col min="13585" max="13585" width="10" style="2840" customWidth="1"/>
    <col min="13586" max="13586" width="10.08984375" style="2840" customWidth="1"/>
    <col min="13587" max="13587" width="10" style="2840" customWidth="1"/>
    <col min="13588" max="13588" width="26.08984375" style="2840" customWidth="1"/>
    <col min="13589" max="13824" width="8.90625" style="2840"/>
    <col min="13825" max="13825" width="9.453125" style="2840" customWidth="1"/>
    <col min="13826" max="13826" width="8.90625" style="2840"/>
    <col min="13827" max="13829" width="12.90625" style="2840" customWidth="1"/>
    <col min="13830" max="13830" width="47.453125" style="2840" customWidth="1"/>
    <col min="13831" max="13831" width="13" style="2840" customWidth="1"/>
    <col min="13832" max="13833" width="8.90625" style="2840"/>
    <col min="13834" max="13834" width="5.7265625" style="2840" customWidth="1"/>
    <col min="13835" max="13835" width="11.7265625" style="2840" customWidth="1"/>
    <col min="13836" max="13837" width="10.7265625" style="2840" customWidth="1"/>
    <col min="13838" max="13838" width="10" style="2840" customWidth="1"/>
    <col min="13839" max="13840" width="10.453125" style="2840" bestFit="1" customWidth="1"/>
    <col min="13841" max="13841" width="10" style="2840" customWidth="1"/>
    <col min="13842" max="13842" width="10.08984375" style="2840" customWidth="1"/>
    <col min="13843" max="13843" width="10" style="2840" customWidth="1"/>
    <col min="13844" max="13844" width="26.08984375" style="2840" customWidth="1"/>
    <col min="13845" max="14080" width="8.90625" style="2840"/>
    <col min="14081" max="14081" width="9.453125" style="2840" customWidth="1"/>
    <col min="14082" max="14082" width="8.90625" style="2840"/>
    <col min="14083" max="14085" width="12.90625" style="2840" customWidth="1"/>
    <col min="14086" max="14086" width="47.453125" style="2840" customWidth="1"/>
    <col min="14087" max="14087" width="13" style="2840" customWidth="1"/>
    <col min="14088" max="14089" width="8.90625" style="2840"/>
    <col min="14090" max="14090" width="5.7265625" style="2840" customWidth="1"/>
    <col min="14091" max="14091" width="11.7265625" style="2840" customWidth="1"/>
    <col min="14092" max="14093" width="10.7265625" style="2840" customWidth="1"/>
    <col min="14094" max="14094" width="10" style="2840" customWidth="1"/>
    <col min="14095" max="14096" width="10.453125" style="2840" bestFit="1" customWidth="1"/>
    <col min="14097" max="14097" width="10" style="2840" customWidth="1"/>
    <col min="14098" max="14098" width="10.08984375" style="2840" customWidth="1"/>
    <col min="14099" max="14099" width="10" style="2840" customWidth="1"/>
    <col min="14100" max="14100" width="26.08984375" style="2840" customWidth="1"/>
    <col min="14101" max="14336" width="8.90625" style="2840"/>
    <col min="14337" max="14337" width="9.453125" style="2840" customWidth="1"/>
    <col min="14338" max="14338" width="8.90625" style="2840"/>
    <col min="14339" max="14341" width="12.90625" style="2840" customWidth="1"/>
    <col min="14342" max="14342" width="47.453125" style="2840" customWidth="1"/>
    <col min="14343" max="14343" width="13" style="2840" customWidth="1"/>
    <col min="14344" max="14345" width="8.90625" style="2840"/>
    <col min="14346" max="14346" width="5.7265625" style="2840" customWidth="1"/>
    <col min="14347" max="14347" width="11.7265625" style="2840" customWidth="1"/>
    <col min="14348" max="14349" width="10.7265625" style="2840" customWidth="1"/>
    <col min="14350" max="14350" width="10" style="2840" customWidth="1"/>
    <col min="14351" max="14352" width="10.453125" style="2840" bestFit="1" customWidth="1"/>
    <col min="14353" max="14353" width="10" style="2840" customWidth="1"/>
    <col min="14354" max="14354" width="10.08984375" style="2840" customWidth="1"/>
    <col min="14355" max="14355" width="10" style="2840" customWidth="1"/>
    <col min="14356" max="14356" width="26.08984375" style="2840" customWidth="1"/>
    <col min="14357" max="14592" width="8.90625" style="2840"/>
    <col min="14593" max="14593" width="9.453125" style="2840" customWidth="1"/>
    <col min="14594" max="14594" width="8.90625" style="2840"/>
    <col min="14595" max="14597" width="12.90625" style="2840" customWidth="1"/>
    <col min="14598" max="14598" width="47.453125" style="2840" customWidth="1"/>
    <col min="14599" max="14599" width="13" style="2840" customWidth="1"/>
    <col min="14600" max="14601" width="8.90625" style="2840"/>
    <col min="14602" max="14602" width="5.7265625" style="2840" customWidth="1"/>
    <col min="14603" max="14603" width="11.7265625" style="2840" customWidth="1"/>
    <col min="14604" max="14605" width="10.7265625" style="2840" customWidth="1"/>
    <col min="14606" max="14606" width="10" style="2840" customWidth="1"/>
    <col min="14607" max="14608" width="10.453125" style="2840" bestFit="1" customWidth="1"/>
    <col min="14609" max="14609" width="10" style="2840" customWidth="1"/>
    <col min="14610" max="14610" width="10.08984375" style="2840" customWidth="1"/>
    <col min="14611" max="14611" width="10" style="2840" customWidth="1"/>
    <col min="14612" max="14612" width="26.08984375" style="2840" customWidth="1"/>
    <col min="14613" max="14848" width="8.90625" style="2840"/>
    <col min="14849" max="14849" width="9.453125" style="2840" customWidth="1"/>
    <col min="14850" max="14850" width="8.90625" style="2840"/>
    <col min="14851" max="14853" width="12.90625" style="2840" customWidth="1"/>
    <col min="14854" max="14854" width="47.453125" style="2840" customWidth="1"/>
    <col min="14855" max="14855" width="13" style="2840" customWidth="1"/>
    <col min="14856" max="14857" width="8.90625" style="2840"/>
    <col min="14858" max="14858" width="5.7265625" style="2840" customWidth="1"/>
    <col min="14859" max="14859" width="11.7265625" style="2840" customWidth="1"/>
    <col min="14860" max="14861" width="10.7265625" style="2840" customWidth="1"/>
    <col min="14862" max="14862" width="10" style="2840" customWidth="1"/>
    <col min="14863" max="14864" width="10.453125" style="2840" bestFit="1" customWidth="1"/>
    <col min="14865" max="14865" width="10" style="2840" customWidth="1"/>
    <col min="14866" max="14866" width="10.08984375" style="2840" customWidth="1"/>
    <col min="14867" max="14867" width="10" style="2840" customWidth="1"/>
    <col min="14868" max="14868" width="26.08984375" style="2840" customWidth="1"/>
    <col min="14869" max="15104" width="8.90625" style="2840"/>
    <col min="15105" max="15105" width="9.453125" style="2840" customWidth="1"/>
    <col min="15106" max="15106" width="8.90625" style="2840"/>
    <col min="15107" max="15109" width="12.90625" style="2840" customWidth="1"/>
    <col min="15110" max="15110" width="47.453125" style="2840" customWidth="1"/>
    <col min="15111" max="15111" width="13" style="2840" customWidth="1"/>
    <col min="15112" max="15113" width="8.90625" style="2840"/>
    <col min="15114" max="15114" width="5.7265625" style="2840" customWidth="1"/>
    <col min="15115" max="15115" width="11.7265625" style="2840" customWidth="1"/>
    <col min="15116" max="15117" width="10.7265625" style="2840" customWidth="1"/>
    <col min="15118" max="15118" width="10" style="2840" customWidth="1"/>
    <col min="15119" max="15120" width="10.453125" style="2840" bestFit="1" customWidth="1"/>
    <col min="15121" max="15121" width="10" style="2840" customWidth="1"/>
    <col min="15122" max="15122" width="10.08984375" style="2840" customWidth="1"/>
    <col min="15123" max="15123" width="10" style="2840" customWidth="1"/>
    <col min="15124" max="15124" width="26.08984375" style="2840" customWidth="1"/>
    <col min="15125" max="15360" width="8.90625" style="2840"/>
    <col min="15361" max="15361" width="9.453125" style="2840" customWidth="1"/>
    <col min="15362" max="15362" width="8.90625" style="2840"/>
    <col min="15363" max="15365" width="12.90625" style="2840" customWidth="1"/>
    <col min="15366" max="15366" width="47.453125" style="2840" customWidth="1"/>
    <col min="15367" max="15367" width="13" style="2840" customWidth="1"/>
    <col min="15368" max="15369" width="8.90625" style="2840"/>
    <col min="15370" max="15370" width="5.7265625" style="2840" customWidth="1"/>
    <col min="15371" max="15371" width="11.7265625" style="2840" customWidth="1"/>
    <col min="15372" max="15373" width="10.7265625" style="2840" customWidth="1"/>
    <col min="15374" max="15374" width="10" style="2840" customWidth="1"/>
    <col min="15375" max="15376" width="10.453125" style="2840" bestFit="1" customWidth="1"/>
    <col min="15377" max="15377" width="10" style="2840" customWidth="1"/>
    <col min="15378" max="15378" width="10.08984375" style="2840" customWidth="1"/>
    <col min="15379" max="15379" width="10" style="2840" customWidth="1"/>
    <col min="15380" max="15380" width="26.08984375" style="2840" customWidth="1"/>
    <col min="15381" max="15616" width="8.90625" style="2840"/>
    <col min="15617" max="15617" width="9.453125" style="2840" customWidth="1"/>
    <col min="15618" max="15618" width="8.90625" style="2840"/>
    <col min="15619" max="15621" width="12.90625" style="2840" customWidth="1"/>
    <col min="15622" max="15622" width="47.453125" style="2840" customWidth="1"/>
    <col min="15623" max="15623" width="13" style="2840" customWidth="1"/>
    <col min="15624" max="15625" width="8.90625" style="2840"/>
    <col min="15626" max="15626" width="5.7265625" style="2840" customWidth="1"/>
    <col min="15627" max="15627" width="11.7265625" style="2840" customWidth="1"/>
    <col min="15628" max="15629" width="10.7265625" style="2840" customWidth="1"/>
    <col min="15630" max="15630" width="10" style="2840" customWidth="1"/>
    <col min="15631" max="15632" width="10.453125" style="2840" bestFit="1" customWidth="1"/>
    <col min="15633" max="15633" width="10" style="2840" customWidth="1"/>
    <col min="15634" max="15634" width="10.08984375" style="2840" customWidth="1"/>
    <col min="15635" max="15635" width="10" style="2840" customWidth="1"/>
    <col min="15636" max="15636" width="26.08984375" style="2840" customWidth="1"/>
    <col min="15637" max="15872" width="8.90625" style="2840"/>
    <col min="15873" max="15873" width="9.453125" style="2840" customWidth="1"/>
    <col min="15874" max="15874" width="8.90625" style="2840"/>
    <col min="15875" max="15877" width="12.90625" style="2840" customWidth="1"/>
    <col min="15878" max="15878" width="47.453125" style="2840" customWidth="1"/>
    <col min="15879" max="15879" width="13" style="2840" customWidth="1"/>
    <col min="15880" max="15881" width="8.90625" style="2840"/>
    <col min="15882" max="15882" width="5.7265625" style="2840" customWidth="1"/>
    <col min="15883" max="15883" width="11.7265625" style="2840" customWidth="1"/>
    <col min="15884" max="15885" width="10.7265625" style="2840" customWidth="1"/>
    <col min="15886" max="15886" width="10" style="2840" customWidth="1"/>
    <col min="15887" max="15888" width="10.453125" style="2840" bestFit="1" customWidth="1"/>
    <col min="15889" max="15889" width="10" style="2840" customWidth="1"/>
    <col min="15890" max="15890" width="10.08984375" style="2840" customWidth="1"/>
    <col min="15891" max="15891" width="10" style="2840" customWidth="1"/>
    <col min="15892" max="15892" width="26.08984375" style="2840" customWidth="1"/>
    <col min="15893" max="16128" width="8.90625" style="2840"/>
    <col min="16129" max="16129" width="9.453125" style="2840" customWidth="1"/>
    <col min="16130" max="16130" width="8.90625" style="2840"/>
    <col min="16131" max="16133" width="12.90625" style="2840" customWidth="1"/>
    <col min="16134" max="16134" width="47.453125" style="2840" customWidth="1"/>
    <col min="16135" max="16135" width="13" style="2840" customWidth="1"/>
    <col min="16136" max="16137" width="8.90625" style="2840"/>
    <col min="16138" max="16138" width="5.7265625" style="2840" customWidth="1"/>
    <col min="16139" max="16139" width="11.7265625" style="2840" customWidth="1"/>
    <col min="16140" max="16141" width="10.7265625" style="2840" customWidth="1"/>
    <col min="16142" max="16142" width="10" style="2840" customWidth="1"/>
    <col min="16143" max="16144" width="10.453125" style="2840" bestFit="1" customWidth="1"/>
    <col min="16145" max="16145" width="10" style="2840" customWidth="1"/>
    <col min="16146" max="16146" width="10.08984375" style="2840" customWidth="1"/>
    <col min="16147" max="16147" width="10" style="2840" customWidth="1"/>
    <col min="16148" max="16148" width="26.08984375" style="2840" customWidth="1"/>
    <col min="16149" max="16384" width="8.9062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3364</v>
      </c>
      <c r="E2" s="3442"/>
      <c r="F2" s="2844"/>
      <c r="G2" s="2845"/>
      <c r="H2" s="2846"/>
      <c r="I2" s="2847"/>
      <c r="J2" s="3665" t="s">
        <v>2320</v>
      </c>
      <c r="K2" s="3666"/>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67" t="s">
        <v>2330</v>
      </c>
      <c r="K3" s="3668"/>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67" t="s">
        <v>2332</v>
      </c>
      <c r="K4" s="3668"/>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69" t="s">
        <v>2336</v>
      </c>
      <c r="B6" s="3670"/>
      <c r="C6" s="3671"/>
      <c r="D6" s="2868"/>
      <c r="E6" s="2869"/>
      <c r="F6" s="2870"/>
      <c r="G6" s="2871"/>
      <c r="H6" s="2846"/>
      <c r="I6" s="2847"/>
      <c r="J6" s="3672">
        <v>1</v>
      </c>
      <c r="K6" s="367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72"/>
      <c r="K7" s="367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76" t="s">
        <v>2350</v>
      </c>
      <c r="C8" s="3677"/>
      <c r="D8" s="2887" t="s">
        <v>2351</v>
      </c>
      <c r="E8" s="2888" t="s">
        <v>2352</v>
      </c>
      <c r="F8" s="2889" t="s">
        <v>2353</v>
      </c>
      <c r="G8" s="2890"/>
      <c r="H8" s="2846"/>
      <c r="I8" s="2847"/>
      <c r="J8" s="3672"/>
      <c r="K8" s="367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76" t="s">
        <v>2356</v>
      </c>
      <c r="C9" s="3677"/>
      <c r="D9" s="2887">
        <f>ROUND(D6*E9,0)</f>
        <v>0</v>
      </c>
      <c r="E9" s="2891"/>
      <c r="F9" s="2892" t="s">
        <v>2357</v>
      </c>
      <c r="G9" s="2871"/>
      <c r="H9" s="2846"/>
      <c r="I9" s="2847"/>
      <c r="J9" s="3672"/>
      <c r="K9" s="3674"/>
      <c r="L9" s="2881" t="s">
        <v>2358</v>
      </c>
      <c r="M9" s="2882"/>
      <c r="N9" s="2858"/>
      <c r="O9" s="2883"/>
      <c r="P9" s="2883"/>
      <c r="Q9" s="2884">
        <v>365</v>
      </c>
      <c r="R9" s="2885">
        <f t="shared" si="0"/>
        <v>0</v>
      </c>
      <c r="S9" s="2839"/>
      <c r="T9" s="2839"/>
      <c r="U9" s="2839"/>
      <c r="V9" s="2847"/>
    </row>
    <row r="10" spans="1:22" s="2851" customFormat="1" ht="13.15" customHeight="1">
      <c r="A10" s="2886">
        <v>2</v>
      </c>
      <c r="B10" s="3676" t="s">
        <v>2359</v>
      </c>
      <c r="C10" s="3677"/>
      <c r="D10" s="2887">
        <f>ROUND(D6*E10,0)</f>
        <v>0</v>
      </c>
      <c r="E10" s="2891"/>
      <c r="F10" s="2892" t="s">
        <v>2360</v>
      </c>
      <c r="G10" s="2871"/>
      <c r="H10" s="2846"/>
      <c r="I10" s="2847"/>
      <c r="J10" s="3672"/>
      <c r="K10" s="3674"/>
      <c r="L10" s="2881" t="s">
        <v>2361</v>
      </c>
      <c r="M10" s="2882"/>
      <c r="N10" s="2858"/>
      <c r="O10" s="2883"/>
      <c r="P10" s="2883"/>
      <c r="Q10" s="2884">
        <v>365</v>
      </c>
      <c r="R10" s="2885">
        <f t="shared" si="0"/>
        <v>0</v>
      </c>
      <c r="S10" s="2839"/>
      <c r="T10" s="2839"/>
      <c r="U10" s="2839"/>
      <c r="V10" s="2847"/>
    </row>
    <row r="11" spans="1:22" s="2851" customFormat="1" ht="13.15" customHeight="1">
      <c r="A11" s="2886">
        <v>3</v>
      </c>
      <c r="B11" s="3676" t="s">
        <v>2362</v>
      </c>
      <c r="C11" s="3677"/>
      <c r="D11" s="2887">
        <f>D12+D14+D15+D16</f>
        <v>0</v>
      </c>
      <c r="E11" s="2893" t="e">
        <f>D11/D6</f>
        <v>#DIV/0!</v>
      </c>
      <c r="F11" s="2889"/>
      <c r="G11" s="2890"/>
      <c r="H11" s="2846"/>
      <c r="I11" s="2847"/>
      <c r="J11" s="3672"/>
      <c r="K11" s="367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78" t="s">
        <v>2365</v>
      </c>
      <c r="C12" s="3679"/>
      <c r="D12" s="2895">
        <f>ROUND(D13*1.2%*(1-30%),0)</f>
        <v>0</v>
      </c>
      <c r="E12" s="2896">
        <v>1.2E-2</v>
      </c>
      <c r="F12" s="2889" t="s">
        <v>2366</v>
      </c>
      <c r="G12" s="2890"/>
      <c r="H12" s="2846"/>
      <c r="I12" s="2847"/>
      <c r="J12" s="3672"/>
      <c r="K12" s="367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72"/>
      <c r="K13" s="367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78" t="s">
        <v>2371</v>
      </c>
      <c r="C14" s="3679"/>
      <c r="D14" s="2895">
        <f>ROUND(E14*B5/10000,0)</f>
        <v>0</v>
      </c>
      <c r="E14" s="2884"/>
      <c r="F14" s="2889" t="s">
        <v>2372</v>
      </c>
      <c r="G14" s="2890"/>
      <c r="H14" s="2846"/>
      <c r="I14" s="2847"/>
      <c r="J14" s="3672"/>
      <c r="K14" s="367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78" t="s">
        <v>2375</v>
      </c>
      <c r="C15" s="3679"/>
      <c r="D15" s="2895">
        <f>ROUND(D6*E15,0)</f>
        <v>0</v>
      </c>
      <c r="E15" s="2896">
        <v>5.5E-2</v>
      </c>
      <c r="F15" s="2889" t="s">
        <v>2376</v>
      </c>
      <c r="G15" s="2871"/>
      <c r="H15" s="2846"/>
      <c r="I15" s="2847"/>
      <c r="J15" s="3672">
        <v>2</v>
      </c>
      <c r="K15" s="367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78" t="s">
        <v>2384</v>
      </c>
      <c r="C16" s="3679"/>
      <c r="D16" s="2906">
        <f>D6*E16</f>
        <v>0</v>
      </c>
      <c r="E16" s="2907"/>
      <c r="F16" s="2892" t="s">
        <v>2385</v>
      </c>
      <c r="G16" s="2871"/>
      <c r="H16" s="2846"/>
      <c r="I16" s="2847"/>
      <c r="J16" s="3672"/>
      <c r="K16" s="367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80" t="s">
        <v>2387</v>
      </c>
      <c r="C17" s="3681"/>
      <c r="D17" s="2909">
        <f>ROUND(D6*E17,0)</f>
        <v>0</v>
      </c>
      <c r="E17" s="2910"/>
      <c r="F17" s="2911" t="s">
        <v>2388</v>
      </c>
      <c r="G17" s="2871"/>
      <c r="H17" s="2846"/>
      <c r="I17" s="2847"/>
      <c r="J17" s="3672"/>
      <c r="K17" s="367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72"/>
      <c r="K18" s="367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72"/>
      <c r="K19" s="367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2">
        <v>3</v>
      </c>
      <c r="K20" s="367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72"/>
      <c r="K21" s="367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72"/>
      <c r="K22" s="367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72"/>
      <c r="K23" s="367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72"/>
      <c r="K24" s="367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82">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8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65" t="s">
        <v>2320</v>
      </c>
      <c r="K32" s="3666"/>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67" t="s">
        <v>2330</v>
      </c>
      <c r="K33" s="3668"/>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67" t="s">
        <v>2332</v>
      </c>
      <c r="K34" s="366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72">
        <v>1</v>
      </c>
      <c r="K36" s="367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72"/>
      <c r="K37" s="367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2"/>
      <c r="K38" s="367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72"/>
      <c r="K39" s="367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72"/>
      <c r="K40" s="367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82">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8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1477" customWidth="1"/>
    <col min="2" max="2" width="12" style="1477" customWidth="1"/>
    <col min="3" max="3" width="9" style="1477"/>
    <col min="4" max="4" width="14.08984375" style="1477" customWidth="1"/>
    <col min="5" max="5" width="9" style="1477"/>
    <col min="6" max="6" width="12.9062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5">
      <c r="A2" s="1870" t="s">
        <v>1462</v>
      </c>
      <c r="B2" s="1871">
        <f ca="1">SUMIF(B6:B13,"&lt;&gt;#ref!",B6:B13)</f>
        <v>369.59309999999999</v>
      </c>
      <c r="C2" s="1872" t="s">
        <v>1651</v>
      </c>
      <c r="D2" s="1873" t="s">
        <v>1652</v>
      </c>
      <c r="E2" s="2605">
        <f>SUM(E6:E13)</f>
        <v>142.19</v>
      </c>
      <c r="F2" s="2705"/>
      <c r="G2" s="1489"/>
      <c r="H2" s="1489"/>
      <c r="I2" s="1489"/>
      <c r="J2" s="1489"/>
      <c r="K2" s="1489"/>
      <c r="L2" s="1489"/>
      <c r="M2" s="1489"/>
      <c r="N2" s="1489"/>
      <c r="O2" s="1489"/>
      <c r="P2" s="1489"/>
      <c r="Q2" s="1489"/>
      <c r="R2" s="1489"/>
      <c r="S2" s="1489"/>
    </row>
    <row r="3" spans="1:22" ht="15.5">
      <c r="A3" s="1870" t="s">
        <v>686</v>
      </c>
      <c r="B3" s="2599">
        <f ca="1">ROUND(B2*10000/E2,0)</f>
        <v>25993</v>
      </c>
      <c r="C3" s="1872" t="s">
        <v>1659</v>
      </c>
      <c r="D3" s="2707"/>
      <c r="E3" s="2709"/>
      <c r="F3" s="2705"/>
      <c r="G3" s="1489"/>
      <c r="H3" s="1489"/>
      <c r="I3" s="1489"/>
      <c r="J3" s="1489"/>
      <c r="K3" s="1489"/>
      <c r="L3" s="1489"/>
      <c r="M3" s="1489"/>
      <c r="N3" s="1489"/>
      <c r="O3" s="1489"/>
      <c r="P3" s="1489"/>
      <c r="Q3" s="1489"/>
      <c r="R3" s="1489"/>
      <c r="S3" s="1489"/>
    </row>
    <row r="4" spans="1:22" ht="15.5">
      <c r="A4" s="2710"/>
      <c r="B4" s="2707"/>
      <c r="C4" s="2707"/>
      <c r="D4" s="2707"/>
      <c r="E4" s="2709"/>
      <c r="F4" s="2705"/>
      <c r="G4" s="1489"/>
      <c r="H4" s="1489"/>
      <c r="I4" s="1489"/>
      <c r="J4" s="1489"/>
      <c r="K4" s="1489"/>
      <c r="L4" s="1489"/>
      <c r="M4" s="1489"/>
      <c r="N4" s="1489"/>
      <c r="O4" s="1489"/>
      <c r="P4" s="1489"/>
      <c r="Q4" s="1489"/>
      <c r="R4" s="1489"/>
      <c r="S4" s="1489"/>
    </row>
    <row r="5" spans="1:22">
      <c r="A5" s="2601" t="s">
        <v>1653</v>
      </c>
      <c r="B5" s="3684" t="s">
        <v>1654</v>
      </c>
      <c r="C5" s="3685"/>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369.59309999999999</v>
      </c>
      <c r="C6" s="1872" t="s">
        <v>1651</v>
      </c>
      <c r="D6" s="2707"/>
      <c r="E6" s="2604">
        <f>IF(OR(A6=0,F6="否"),0,'数据-取费表'!K6+'数据-取费表'!S6)</f>
        <v>142.19</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4.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45" zoomScale="90" zoomScaleNormal="60" zoomScaleSheetLayoutView="90" workbookViewId="0">
      <selection activeCell="K42" sqref="K42"/>
    </sheetView>
  </sheetViews>
  <sheetFormatPr defaultColWidth="9" defaultRowHeight="14"/>
  <cols>
    <col min="1" max="1" width="10.453125" style="357" customWidth="1"/>
    <col min="2" max="3" width="15.7265625" style="357" customWidth="1"/>
    <col min="4" max="4" width="12.26953125" style="357" customWidth="1"/>
    <col min="5" max="5" width="17.08984375" style="357" customWidth="1"/>
    <col min="6" max="6" width="12.26953125" style="357" customWidth="1"/>
    <col min="7" max="7" width="16.453125" style="357" customWidth="1"/>
    <col min="8" max="8" width="12.26953125" style="357" customWidth="1"/>
    <col min="9" max="9" width="15.6328125" style="357" customWidth="1"/>
    <col min="10" max="10" width="12.26953125" style="357" customWidth="1"/>
    <col min="11" max="11" width="12.26953125" style="444" customWidth="1"/>
    <col min="12" max="12" width="12.26953125" style="445" customWidth="1"/>
    <col min="13" max="13" width="9.36328125" style="357" customWidth="1"/>
    <col min="14" max="14" width="9.08984375" style="357" customWidth="1"/>
    <col min="15" max="15" width="8.6328125" style="357" customWidth="1"/>
    <col min="16" max="16" width="4.7265625" style="1915"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3" customFormat="1" ht="28.5" customHeight="1" thickBot="1">
      <c r="A1" s="1222" t="s">
        <v>1660</v>
      </c>
      <c r="B1" s="1878" t="s">
        <v>1661</v>
      </c>
      <c r="C1" s="1238" t="s">
        <v>1662</v>
      </c>
      <c r="D1" s="1225" t="s">
        <v>3378</v>
      </c>
      <c r="E1" s="3424" t="s">
        <v>3419</v>
      </c>
      <c r="F1" s="1879" t="s">
        <v>3418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1320.7460000000001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92886</v>
      </c>
      <c r="C3" s="354" t="s">
        <v>1665</v>
      </c>
      <c r="D3" s="353">
        <f>IF(D1="",'数据-汇总表'!E3,SUMIF('数据-汇总表'!$C19:$C33,D1,'数据-汇总表'!$E19:$E33))</f>
        <v>142.19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c r="A4" s="355" t="s">
        <v>1666</v>
      </c>
      <c r="B4" s="356"/>
      <c r="C4" s="3704" t="s">
        <v>1667</v>
      </c>
      <c r="D4" s="3705"/>
      <c r="E4" s="3706" t="s">
        <v>1668</v>
      </c>
      <c r="F4" s="3707"/>
      <c r="G4" s="3704" t="s">
        <v>1669</v>
      </c>
      <c r="H4" s="3705"/>
      <c r="I4" s="3704" t="s">
        <v>1670</v>
      </c>
      <c r="J4" s="3705"/>
      <c r="K4" s="1889" t="s">
        <v>1671</v>
      </c>
      <c r="L4" s="2713"/>
      <c r="M4" s="2714"/>
      <c r="N4" s="2714"/>
      <c r="O4" s="2714"/>
      <c r="P4" s="3708" t="s">
        <v>1672</v>
      </c>
      <c r="Q4" s="3709"/>
      <c r="R4" s="3691" t="s">
        <v>1668</v>
      </c>
      <c r="S4" s="3692"/>
      <c r="T4" s="3691" t="s">
        <v>1669</v>
      </c>
      <c r="U4" s="3692"/>
      <c r="V4" s="3716" t="s">
        <v>1670</v>
      </c>
      <c r="W4" s="3716"/>
      <c r="X4" s="1355"/>
      <c r="Y4" s="3691" t="s">
        <v>1672</v>
      </c>
      <c r="Z4" s="3692"/>
      <c r="AA4" s="3686" t="s">
        <v>1668</v>
      </c>
      <c r="AB4" s="3686" t="s">
        <v>1669</v>
      </c>
      <c r="AC4" s="3686" t="s">
        <v>1670</v>
      </c>
    </row>
    <row r="5" spans="1:29">
      <c r="A5" s="358"/>
      <c r="B5" s="359"/>
      <c r="C5" s="3697" t="s">
        <v>1673</v>
      </c>
      <c r="D5" s="3698"/>
      <c r="E5" s="3695" t="s">
        <v>3422</v>
      </c>
      <c r="F5" s="3696"/>
      <c r="G5" s="3717" t="s">
        <v>3425</v>
      </c>
      <c r="H5" s="3698"/>
      <c r="I5" s="3697">
        <v>41</v>
      </c>
      <c r="J5" s="3698"/>
      <c r="K5" s="1890"/>
      <c r="L5" s="2713"/>
      <c r="M5" s="2714"/>
      <c r="N5" s="2714"/>
      <c r="O5" s="2714"/>
      <c r="P5" s="3710"/>
      <c r="Q5" s="3711"/>
      <c r="R5" s="3693"/>
      <c r="S5" s="3694"/>
      <c r="T5" s="3693"/>
      <c r="U5" s="3694"/>
      <c r="V5" s="3716"/>
      <c r="W5" s="3716"/>
      <c r="X5" s="1355"/>
      <c r="Y5" s="3693"/>
      <c r="Z5" s="3694"/>
      <c r="AA5" s="3687"/>
      <c r="AB5" s="3687"/>
      <c r="AC5" s="3687"/>
    </row>
    <row r="6" spans="1:29" ht="15" thickBot="1">
      <c r="A6" s="360"/>
      <c r="B6" s="361"/>
      <c r="C6" s="3699" t="s">
        <v>1677</v>
      </c>
      <c r="D6" s="3700"/>
      <c r="E6" s="3701" t="s">
        <v>1677</v>
      </c>
      <c r="F6" s="3702"/>
      <c r="G6" s="3699" t="s">
        <v>1677</v>
      </c>
      <c r="H6" s="3700"/>
      <c r="I6" s="3699" t="s">
        <v>1677</v>
      </c>
      <c r="J6" s="3700"/>
      <c r="K6" s="1890" t="s">
        <v>1678</v>
      </c>
      <c r="L6" s="2713"/>
      <c r="M6" s="2714"/>
      <c r="N6" s="2714"/>
      <c r="O6" s="2714"/>
      <c r="P6" s="3712"/>
      <c r="Q6" s="3713"/>
      <c r="R6" s="3693"/>
      <c r="S6" s="3694"/>
      <c r="T6" s="3714"/>
      <c r="U6" s="3715"/>
      <c r="V6" s="3716"/>
      <c r="W6" s="3716"/>
      <c r="X6" s="1355"/>
      <c r="Y6" s="3714"/>
      <c r="Z6" s="3715"/>
      <c r="AA6" s="3688"/>
      <c r="AB6" s="3688"/>
      <c r="AC6" s="3688"/>
    </row>
    <row r="7" spans="1:29" s="108" customFormat="1" ht="14.5" thickBot="1">
      <c r="A7" s="362" t="s">
        <v>1679</v>
      </c>
      <c r="B7" s="363"/>
      <c r="C7" s="364">
        <f>'数据-取费表'!B2</f>
        <v>45072</v>
      </c>
      <c r="D7" s="365">
        <v>100</v>
      </c>
      <c r="E7" s="366">
        <v>44986</v>
      </c>
      <c r="F7" s="367">
        <f>SUMIF(58:58,YEAR(E7)&amp;"-"&amp;MONTH(E7),59:59)</f>
        <v>100</v>
      </c>
      <c r="G7" s="366">
        <v>45017</v>
      </c>
      <c r="H7" s="365">
        <f>SUMIF(58:58,YEAR(G7)&amp;"-"&amp;MONTH(G7),59:59)</f>
        <v>100</v>
      </c>
      <c r="I7" s="366">
        <v>45017</v>
      </c>
      <c r="J7" s="365">
        <f>SUMIF(58:58,YEAR(I7)&amp;"-"&amp;MONTH(I7),59:59)</f>
        <v>100</v>
      </c>
      <c r="K7" s="1891"/>
      <c r="L7" s="2715"/>
      <c r="M7" s="2716"/>
      <c r="N7" s="2716"/>
      <c r="O7" s="2716"/>
      <c r="P7" s="3689" t="s">
        <v>1680</v>
      </c>
      <c r="Q7" s="3718"/>
      <c r="R7" s="701" t="s">
        <v>20</v>
      </c>
      <c r="S7" s="702">
        <f t="shared" ref="S7:S15" si="0">F7</f>
        <v>100</v>
      </c>
      <c r="T7" s="701" t="s">
        <v>20</v>
      </c>
      <c r="U7" s="702">
        <f t="shared" ref="U7:U15" si="1">H7</f>
        <v>100</v>
      </c>
      <c r="V7" s="701" t="s">
        <v>20</v>
      </c>
      <c r="W7" s="702">
        <f t="shared" ref="W7:W15" si="2">J7</f>
        <v>100</v>
      </c>
      <c r="X7" s="703"/>
      <c r="Y7" s="3689" t="s">
        <v>1680</v>
      </c>
      <c r="Z7" s="3690"/>
      <c r="AA7" s="704">
        <f>D7/F7</f>
        <v>1</v>
      </c>
      <c r="AB7" s="704">
        <f>D7/H7</f>
        <v>1</v>
      </c>
      <c r="AC7" s="704">
        <f>D7/J7</f>
        <v>1</v>
      </c>
    </row>
    <row r="8" spans="1:29" s="108" customFormat="1" ht="14.5" thickBot="1">
      <c r="A8" s="362" t="s">
        <v>1681</v>
      </c>
      <c r="B8" s="363"/>
      <c r="C8" s="368" t="s">
        <v>3399</v>
      </c>
      <c r="D8" s="365">
        <v>100</v>
      </c>
      <c r="E8" s="1892" t="s">
        <v>3399</v>
      </c>
      <c r="F8" s="367">
        <f>SUMIF(61:61,E8,62:62)-SUMIF(61:61,C8,62:62)+100</f>
        <v>100</v>
      </c>
      <c r="G8" s="1892" t="s">
        <v>3399</v>
      </c>
      <c r="H8" s="365">
        <f>SUMIF(61:61,G8,62:62)-SUMIF(61:61,C8,62:62)+100</f>
        <v>100</v>
      </c>
      <c r="I8" s="1892" t="s">
        <v>3399</v>
      </c>
      <c r="J8" s="365">
        <f>SUMIF(61:61,I8,62:62)-SUMIF(61:61,C8,62:62)+100</f>
        <v>100</v>
      </c>
      <c r="K8" s="1891"/>
      <c r="L8" s="2715"/>
      <c r="M8" s="2716"/>
      <c r="N8" s="2716"/>
      <c r="O8" s="2716"/>
      <c r="P8" s="3689" t="s">
        <v>1683</v>
      </c>
      <c r="Q8" s="3690"/>
      <c r="R8" s="701" t="s">
        <v>20</v>
      </c>
      <c r="S8" s="702">
        <f t="shared" si="0"/>
        <v>100</v>
      </c>
      <c r="T8" s="701" t="s">
        <v>20</v>
      </c>
      <c r="U8" s="702">
        <f t="shared" si="1"/>
        <v>100</v>
      </c>
      <c r="V8" s="701" t="s">
        <v>20</v>
      </c>
      <c r="W8" s="702">
        <f t="shared" si="2"/>
        <v>100</v>
      </c>
      <c r="X8" s="703"/>
      <c r="Y8" s="3689" t="s">
        <v>1683</v>
      </c>
      <c r="Z8" s="369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03"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03"/>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703"/>
      <c r="Q11" s="1343" t="str">
        <f t="shared" si="6"/>
        <v>容积率</v>
      </c>
      <c r="R11" s="701" t="s">
        <v>18</v>
      </c>
      <c r="S11" s="702">
        <f t="shared" si="0"/>
        <v>100</v>
      </c>
      <c r="T11" s="701" t="s">
        <v>18</v>
      </c>
      <c r="U11" s="702">
        <f t="shared" si="1"/>
        <v>100</v>
      </c>
      <c r="V11" s="701" t="s">
        <v>18</v>
      </c>
      <c r="W11" s="702">
        <f t="shared" si="2"/>
        <v>100</v>
      </c>
      <c r="X11" s="703"/>
      <c r="Y11" s="3633"/>
      <c r="Z11" s="52" t="str">
        <f t="shared" si="7"/>
        <v>容积率</v>
      </c>
      <c r="AA11" s="704">
        <f t="shared" si="3"/>
        <v>1</v>
      </c>
      <c r="AB11" s="704">
        <f t="shared" si="4"/>
        <v>1</v>
      </c>
      <c r="AC11" s="704">
        <f t="shared" si="5"/>
        <v>1</v>
      </c>
    </row>
    <row r="12" spans="1:29" s="108" customFormat="1" ht="15.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3"/>
      <c r="Q12" s="1343">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3"/>
      <c r="Q13" s="1343">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3"/>
      <c r="Q14" s="1343">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98">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1" t="s">
        <v>1691</v>
      </c>
      <c r="Q15" s="1352" t="str">
        <f t="shared" si="6"/>
        <v>居住社区成熟度</v>
      </c>
      <c r="R15" s="705" t="s">
        <v>18</v>
      </c>
      <c r="S15" s="706">
        <f t="shared" si="0"/>
        <v>100</v>
      </c>
      <c r="T15" s="705" t="s">
        <v>18</v>
      </c>
      <c r="U15" s="706">
        <f t="shared" si="1"/>
        <v>100</v>
      </c>
      <c r="V15" s="705" t="s">
        <v>18</v>
      </c>
      <c r="W15" s="706">
        <f t="shared" si="2"/>
        <v>100</v>
      </c>
      <c r="X15" s="1355"/>
      <c r="Y15" s="3724" t="s">
        <v>1691</v>
      </c>
      <c r="Z15" s="1356" t="str">
        <f t="shared" si="7"/>
        <v>居住社区成熟度</v>
      </c>
      <c r="AA15" s="1353">
        <f t="shared" si="3"/>
        <v>1</v>
      </c>
      <c r="AB15" s="1353">
        <f t="shared" si="4"/>
        <v>1</v>
      </c>
      <c r="AC15" s="1353">
        <f t="shared" si="5"/>
        <v>1</v>
      </c>
    </row>
    <row r="16" spans="1:29" ht="15.5">
      <c r="A16" s="379"/>
      <c r="B16" s="397"/>
      <c r="C16" s="398" t="s">
        <v>3392</v>
      </c>
      <c r="D16" s="399"/>
      <c r="E16" s="398" t="s">
        <v>3392</v>
      </c>
      <c r="F16" s="399"/>
      <c r="G16" s="398" t="s">
        <v>3392</v>
      </c>
      <c r="H16" s="401"/>
      <c r="I16" s="398" t="s">
        <v>3392</v>
      </c>
      <c r="J16" s="399"/>
      <c r="K16" s="1899"/>
      <c r="L16" s="2720"/>
      <c r="M16" s="2714"/>
      <c r="N16" s="2714"/>
      <c r="O16" s="2714"/>
      <c r="P16" s="3732"/>
      <c r="Q16" s="1352"/>
      <c r="R16" s="705"/>
      <c r="S16" s="706"/>
      <c r="T16" s="705"/>
      <c r="U16" s="706"/>
      <c r="V16" s="705"/>
      <c r="W16" s="706"/>
      <c r="X16" s="1355"/>
      <c r="Y16" s="3725"/>
      <c r="Z16" s="1356"/>
      <c r="AA16" s="1353">
        <v>1</v>
      </c>
      <c r="AB16" s="1353">
        <v>1</v>
      </c>
      <c r="AC16" s="1353">
        <v>1</v>
      </c>
    </row>
    <row r="17" spans="1:29" ht="84">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2"/>
      <c r="Q17" s="1352" t="str">
        <f>B17</f>
        <v>交通便捷度</v>
      </c>
      <c r="R17" s="705" t="s">
        <v>18</v>
      </c>
      <c r="S17" s="706">
        <f>F17</f>
        <v>100</v>
      </c>
      <c r="T17" s="705" t="s">
        <v>18</v>
      </c>
      <c r="U17" s="706">
        <f>H17</f>
        <v>100</v>
      </c>
      <c r="V17" s="705" t="s">
        <v>18</v>
      </c>
      <c r="W17" s="706">
        <f>J17</f>
        <v>100</v>
      </c>
      <c r="X17" s="1355"/>
      <c r="Y17" s="3725"/>
      <c r="Z17" s="1356" t="str">
        <f>Q17</f>
        <v>交通便捷度</v>
      </c>
      <c r="AA17" s="1353">
        <f t="shared" si="3"/>
        <v>1</v>
      </c>
      <c r="AB17" s="1353">
        <f t="shared" si="4"/>
        <v>1</v>
      </c>
      <c r="AC17" s="1353">
        <f t="shared" si="5"/>
        <v>1</v>
      </c>
    </row>
    <row r="18" spans="1:29" ht="15.5">
      <c r="A18" s="379"/>
      <c r="B18" s="407"/>
      <c r="C18" s="1901" t="s">
        <v>3392</v>
      </c>
      <c r="D18" s="401"/>
      <c r="E18" s="1901" t="s">
        <v>3392</v>
      </c>
      <c r="F18" s="401"/>
      <c r="G18" s="1901" t="s">
        <v>3392</v>
      </c>
      <c r="H18" s="399"/>
      <c r="I18" s="1901" t="s">
        <v>3392</v>
      </c>
      <c r="J18" s="399"/>
      <c r="K18" s="1899"/>
      <c r="L18" s="2720"/>
      <c r="M18" s="2714"/>
      <c r="N18" s="2714"/>
      <c r="O18" s="2714"/>
      <c r="P18" s="3732"/>
      <c r="Q18" s="1352"/>
      <c r="R18" s="705"/>
      <c r="S18" s="706"/>
      <c r="T18" s="705"/>
      <c r="U18" s="706"/>
      <c r="V18" s="705"/>
      <c r="W18" s="706"/>
      <c r="X18" s="1355"/>
      <c r="Y18" s="3725"/>
      <c r="Z18" s="1356"/>
      <c r="AA18" s="1353">
        <v>1</v>
      </c>
      <c r="AB18" s="1353">
        <v>1</v>
      </c>
      <c r="AC18" s="1353">
        <v>1</v>
      </c>
    </row>
    <row r="19" spans="1:29" ht="42">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2"/>
      <c r="Q19" s="1352" t="str">
        <f>B19</f>
        <v>公共配套设施</v>
      </c>
      <c r="R19" s="705" t="s">
        <v>18</v>
      </c>
      <c r="S19" s="706">
        <f>F19</f>
        <v>100</v>
      </c>
      <c r="T19" s="705" t="s">
        <v>18</v>
      </c>
      <c r="U19" s="706">
        <f>H19</f>
        <v>100</v>
      </c>
      <c r="V19" s="705" t="s">
        <v>18</v>
      </c>
      <c r="W19" s="706">
        <f>J19</f>
        <v>100</v>
      </c>
      <c r="X19" s="1355"/>
      <c r="Y19" s="3725"/>
      <c r="Z19" s="1356" t="str">
        <f>Q19</f>
        <v>公共配套设施</v>
      </c>
      <c r="AA19" s="1353">
        <f t="shared" si="3"/>
        <v>1</v>
      </c>
      <c r="AB19" s="1353">
        <f t="shared" si="4"/>
        <v>1</v>
      </c>
      <c r="AC19" s="1353">
        <f t="shared" si="5"/>
        <v>1</v>
      </c>
    </row>
    <row r="20" spans="1:29" ht="15.5">
      <c r="A20" s="379"/>
      <c r="B20" s="407"/>
      <c r="C20" s="398" t="s">
        <v>3392</v>
      </c>
      <c r="D20" s="399"/>
      <c r="E20" s="398" t="s">
        <v>3392</v>
      </c>
      <c r="F20" s="399"/>
      <c r="G20" s="398" t="s">
        <v>3392</v>
      </c>
      <c r="H20" s="399"/>
      <c r="I20" s="398" t="s">
        <v>3392</v>
      </c>
      <c r="J20" s="399"/>
      <c r="K20" s="1899"/>
      <c r="L20" s="2720"/>
      <c r="M20" s="2714"/>
      <c r="N20" s="2714"/>
      <c r="O20" s="2714"/>
      <c r="P20" s="3732"/>
      <c r="Q20" s="1352"/>
      <c r="R20" s="705"/>
      <c r="S20" s="706"/>
      <c r="T20" s="705"/>
      <c r="U20" s="706"/>
      <c r="V20" s="705"/>
      <c r="W20" s="706"/>
      <c r="X20" s="1355"/>
      <c r="Y20" s="3725"/>
      <c r="Z20" s="1356"/>
      <c r="AA20" s="1353">
        <v>1</v>
      </c>
      <c r="AB20" s="1353">
        <v>1</v>
      </c>
      <c r="AC20" s="1353">
        <v>1</v>
      </c>
    </row>
    <row r="21" spans="1:29" ht="28">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5">
      <c r="A22" s="379"/>
      <c r="B22" s="1131"/>
      <c r="C22" s="1901" t="s">
        <v>3423</v>
      </c>
      <c r="D22" s="399"/>
      <c r="E22" s="1901" t="s">
        <v>3423</v>
      </c>
      <c r="F22" s="399"/>
      <c r="G22" s="1901" t="s">
        <v>3423</v>
      </c>
      <c r="H22" s="399"/>
      <c r="I22" s="1901" t="s">
        <v>3423</v>
      </c>
      <c r="J22" s="399"/>
      <c r="K22" s="1905"/>
      <c r="L22" s="2720"/>
      <c r="M22" s="2714"/>
      <c r="N22" s="2714"/>
      <c r="O22" s="2714"/>
      <c r="P22" s="3732"/>
      <c r="Q22" s="1352"/>
      <c r="R22" s="705"/>
      <c r="S22" s="706"/>
      <c r="T22" s="705"/>
      <c r="U22" s="706"/>
      <c r="V22" s="705"/>
      <c r="W22" s="706"/>
      <c r="X22" s="1355"/>
      <c r="Y22" s="3725"/>
      <c r="Z22" s="1356"/>
      <c r="AA22" s="1353">
        <v>1</v>
      </c>
      <c r="AB22" s="1353">
        <v>1</v>
      </c>
      <c r="AC22" s="1353">
        <v>1</v>
      </c>
    </row>
    <row r="23" spans="1:29" ht="56">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2"/>
      <c r="Q23" s="1352" t="str">
        <f>B23</f>
        <v>自然及人文环境</v>
      </c>
      <c r="R23" s="705" t="s">
        <v>18</v>
      </c>
      <c r="S23" s="706">
        <f>F23</f>
        <v>100</v>
      </c>
      <c r="T23" s="705" t="s">
        <v>18</v>
      </c>
      <c r="U23" s="706">
        <f>H23</f>
        <v>100</v>
      </c>
      <c r="V23" s="705" t="s">
        <v>18</v>
      </c>
      <c r="W23" s="706">
        <f>J23</f>
        <v>100</v>
      </c>
      <c r="X23" s="1355"/>
      <c r="Y23" s="3725"/>
      <c r="Z23" s="1356" t="str">
        <f>Q23</f>
        <v>自然及人文环境</v>
      </c>
      <c r="AA23" s="1353">
        <f>D23/F23</f>
        <v>1</v>
      </c>
      <c r="AB23" s="1353">
        <f>D23/H23</f>
        <v>1</v>
      </c>
      <c r="AC23" s="1353">
        <f>D23/J23</f>
        <v>1</v>
      </c>
    </row>
    <row r="24" spans="1:29" ht="15.5">
      <c r="A24" s="379"/>
      <c r="B24" s="407"/>
      <c r="C24" s="398" t="s">
        <v>3392</v>
      </c>
      <c r="D24" s="399"/>
      <c r="E24" s="398" t="s">
        <v>3392</v>
      </c>
      <c r="F24" s="399"/>
      <c r="G24" s="398" t="s">
        <v>3392</v>
      </c>
      <c r="H24" s="399"/>
      <c r="I24" s="398" t="s">
        <v>3392</v>
      </c>
      <c r="J24" s="399"/>
      <c r="K24" s="1899"/>
      <c r="L24" s="2720"/>
      <c r="M24" s="2714"/>
      <c r="N24" s="2714"/>
      <c r="O24" s="2714"/>
      <c r="P24" s="3732"/>
      <c r="Q24" s="1352"/>
      <c r="R24" s="705"/>
      <c r="S24" s="706"/>
      <c r="T24" s="705"/>
      <c r="U24" s="706"/>
      <c r="V24" s="705"/>
      <c r="W24" s="706"/>
      <c r="X24" s="1355"/>
      <c r="Y24" s="3725"/>
      <c r="Z24" s="1356"/>
      <c r="AA24" s="1353">
        <v>1</v>
      </c>
      <c r="AB24" s="1353">
        <v>1</v>
      </c>
      <c r="AC24" s="1353">
        <v>1</v>
      </c>
    </row>
    <row r="25" spans="1:29" ht="15.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5"/>
      <c r="Z25" s="1356" t="str">
        <f>Q25</f>
        <v>楼层-1</v>
      </c>
      <c r="AA25" s="1353">
        <f t="shared" ref="AA25:AA46" si="15">D25/F25</f>
        <v>1</v>
      </c>
      <c r="AB25" s="1353">
        <f t="shared" ref="AB25:AB46" si="16">D25/H25</f>
        <v>1</v>
      </c>
      <c r="AC25" s="1353">
        <f t="shared" ref="AC25:AC46" si="17">D25/J25</f>
        <v>1</v>
      </c>
    </row>
    <row r="26" spans="1:29" ht="15.5">
      <c r="A26" s="379"/>
      <c r="B26" s="375" t="s">
        <v>1693</v>
      </c>
      <c r="C26" s="411" t="s">
        <v>3413</v>
      </c>
      <c r="D26" s="386">
        <v>100</v>
      </c>
      <c r="E26" s="1906" t="s">
        <v>3412</v>
      </c>
      <c r="F26" s="386">
        <f>SUMIF(88:88,E26,89:89)-SUMIF(88:88,C26,89:89)+100</f>
        <v>101</v>
      </c>
      <c r="G26" s="1907" t="s">
        <v>3416</v>
      </c>
      <c r="H26" s="386">
        <f>SUMIF(88:88,G26,89:89)-SUMIF(88:88,C26,89:89)+100</f>
        <v>99</v>
      </c>
      <c r="I26" s="1907" t="s">
        <v>3414</v>
      </c>
      <c r="J26" s="386">
        <f>SUMIF(88:88,I26,89:89)-SUMIF(88:88,C26,89:89)+100</f>
        <v>102</v>
      </c>
      <c r="K26" s="377">
        <v>1</v>
      </c>
      <c r="L26" s="2720"/>
      <c r="M26" s="2714"/>
      <c r="N26" s="2714"/>
      <c r="O26" s="2714"/>
      <c r="P26" s="3732"/>
      <c r="Q26" s="1352" t="str">
        <f t="shared" si="11"/>
        <v>朝向</v>
      </c>
      <c r="R26" s="705" t="s">
        <v>18</v>
      </c>
      <c r="S26" s="706">
        <f t="shared" si="12"/>
        <v>101</v>
      </c>
      <c r="T26" s="705" t="s">
        <v>18</v>
      </c>
      <c r="U26" s="706">
        <f t="shared" si="13"/>
        <v>99</v>
      </c>
      <c r="V26" s="705" t="s">
        <v>18</v>
      </c>
      <c r="W26" s="706">
        <f t="shared" si="14"/>
        <v>102</v>
      </c>
      <c r="X26" s="1355"/>
      <c r="Y26" s="3725"/>
      <c r="Z26" s="1356" t="str">
        <f>Q26</f>
        <v>朝向</v>
      </c>
      <c r="AA26" s="1353">
        <f t="shared" si="15"/>
        <v>0.99009900990099009</v>
      </c>
      <c r="AB26" s="1353">
        <f t="shared" si="16"/>
        <v>1.0101010101010102</v>
      </c>
      <c r="AC26" s="1353">
        <f t="shared" si="17"/>
        <v>0.98039215686274506</v>
      </c>
    </row>
    <row r="27" spans="1:29" s="108" customFormat="1" ht="15.5">
      <c r="A27" s="382"/>
      <c r="B27" s="3450" t="s">
        <v>3408</v>
      </c>
      <c r="C27" s="3451" t="s">
        <v>3409</v>
      </c>
      <c r="D27" s="413">
        <v>100</v>
      </c>
      <c r="E27" s="3452" t="s">
        <v>3410</v>
      </c>
      <c r="F27" s="413">
        <f>SUMIF(90:90,E27,91:91)-SUMIF(90:90,C27,91:91)+100</f>
        <v>98</v>
      </c>
      <c r="G27" s="3453" t="s">
        <v>3410</v>
      </c>
      <c r="H27" s="413">
        <f>SUMIF(90:90,G27,91:91)-SUMIF(90:90,C27,91:91)+100</f>
        <v>98</v>
      </c>
      <c r="I27" s="3453" t="s">
        <v>3411</v>
      </c>
      <c r="J27" s="413">
        <f>SUMIF(90:90,I27,91:91)-SUMIF(90:90,C27,91:91)+100</f>
        <v>96</v>
      </c>
      <c r="K27" s="1894"/>
      <c r="L27" s="2715"/>
      <c r="M27" s="2716"/>
      <c r="N27" s="2716"/>
      <c r="O27" s="2716"/>
      <c r="P27" s="3732"/>
      <c r="Q27" s="1343" t="str">
        <f t="shared" si="11"/>
        <v>楼层</v>
      </c>
      <c r="R27" s="701" t="s">
        <v>18</v>
      </c>
      <c r="S27" s="702">
        <f t="shared" si="12"/>
        <v>98</v>
      </c>
      <c r="T27" s="701" t="s">
        <v>18</v>
      </c>
      <c r="U27" s="702">
        <f t="shared" si="13"/>
        <v>98</v>
      </c>
      <c r="V27" s="701" t="s">
        <v>18</v>
      </c>
      <c r="W27" s="702">
        <f t="shared" si="14"/>
        <v>96</v>
      </c>
      <c r="X27" s="703"/>
      <c r="Y27" s="3725"/>
      <c r="Z27" s="52" t="str">
        <f>Q27</f>
        <v>楼层</v>
      </c>
      <c r="AA27" s="1353">
        <f t="shared" si="15"/>
        <v>1.0204081632653061</v>
      </c>
      <c r="AB27" s="1353">
        <f t="shared" si="16"/>
        <v>1.0204081632653061</v>
      </c>
      <c r="AC27" s="1353">
        <f t="shared" si="17"/>
        <v>1.0416666666666667</v>
      </c>
    </row>
    <row r="28" spans="1:29" ht="15.5">
      <c r="A28" s="379"/>
      <c r="B28" s="1133">
        <v>111</v>
      </c>
      <c r="C28" s="3455"/>
      <c r="D28" s="386">
        <v>100</v>
      </c>
      <c r="E28" s="385">
        <f>C28</f>
        <v>0</v>
      </c>
      <c r="F28" s="386">
        <f>SUMIF(92:92,E28,93:93)-SUMIF(92:92,C28,93:93)+100</f>
        <v>100</v>
      </c>
      <c r="G28" s="1908"/>
      <c r="H28" s="386">
        <f>SUMIF(92:92,G28,93:93)-SUMIF(92:92,C28,93:93)+100</f>
        <v>100</v>
      </c>
      <c r="I28" s="385"/>
      <c r="J28" s="386">
        <f>SUMIF(92:92,I28,93:93)-SUMIF(92:92,C28,93:93)+100</f>
        <v>100</v>
      </c>
      <c r="K28" s="1894"/>
      <c r="L28" s="2720"/>
      <c r="M28" s="2714"/>
      <c r="N28" s="2714"/>
      <c r="O28" s="2714"/>
      <c r="P28" s="3732"/>
      <c r="Q28" s="1352">
        <f t="shared" si="11"/>
        <v>111</v>
      </c>
      <c r="R28" s="705" t="s">
        <v>18</v>
      </c>
      <c r="S28" s="706">
        <f t="shared" si="12"/>
        <v>100</v>
      </c>
      <c r="T28" s="705" t="s">
        <v>18</v>
      </c>
      <c r="U28" s="706">
        <f t="shared" si="13"/>
        <v>100</v>
      </c>
      <c r="V28" s="705" t="s">
        <v>18</v>
      </c>
      <c r="W28" s="706">
        <f t="shared" si="14"/>
        <v>100</v>
      </c>
      <c r="X28" s="1355"/>
      <c r="Y28" s="3725"/>
      <c r="Z28" s="1356">
        <f t="shared" ref="Z28:Z46" si="18">Q28</f>
        <v>111</v>
      </c>
      <c r="AA28" s="1353">
        <f t="shared" si="15"/>
        <v>1</v>
      </c>
      <c r="AB28" s="1353">
        <f t="shared" si="16"/>
        <v>1</v>
      </c>
      <c r="AC28" s="1353">
        <f t="shared" si="17"/>
        <v>1</v>
      </c>
    </row>
    <row r="29" spans="1:29" ht="15.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32"/>
      <c r="Q29" s="1352">
        <f t="shared" si="11"/>
        <v>111</v>
      </c>
      <c r="R29" s="705" t="s">
        <v>18</v>
      </c>
      <c r="S29" s="706">
        <f t="shared" si="12"/>
        <v>100</v>
      </c>
      <c r="T29" s="705" t="s">
        <v>18</v>
      </c>
      <c r="U29" s="706">
        <f t="shared" si="13"/>
        <v>100</v>
      </c>
      <c r="V29" s="705" t="s">
        <v>18</v>
      </c>
      <c r="W29" s="706">
        <f t="shared" si="14"/>
        <v>100</v>
      </c>
      <c r="X29" s="1355"/>
      <c r="Y29" s="3725"/>
      <c r="Z29" s="1356">
        <f t="shared" si="18"/>
        <v>111</v>
      </c>
      <c r="AA29" s="1353">
        <f t="shared" si="15"/>
        <v>1</v>
      </c>
      <c r="AB29" s="1353">
        <f t="shared" si="16"/>
        <v>1</v>
      </c>
      <c r="AC29" s="1353">
        <f t="shared" si="17"/>
        <v>1</v>
      </c>
    </row>
    <row r="30" spans="1:29" ht="15.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32"/>
      <c r="Q30" s="1352">
        <f t="shared" si="11"/>
        <v>111</v>
      </c>
      <c r="R30" s="705" t="s">
        <v>18</v>
      </c>
      <c r="S30" s="706">
        <f t="shared" si="12"/>
        <v>100</v>
      </c>
      <c r="T30" s="705" t="s">
        <v>18</v>
      </c>
      <c r="U30" s="706">
        <f t="shared" si="13"/>
        <v>100</v>
      </c>
      <c r="V30" s="705" t="s">
        <v>18</v>
      </c>
      <c r="W30" s="706">
        <f t="shared" si="14"/>
        <v>100</v>
      </c>
      <c r="X30" s="1355"/>
      <c r="Y30" s="3725"/>
      <c r="Z30" s="1356">
        <f t="shared" si="18"/>
        <v>111</v>
      </c>
      <c r="AA30" s="1353">
        <f t="shared" si="15"/>
        <v>1</v>
      </c>
      <c r="AB30" s="1353">
        <f t="shared" si="16"/>
        <v>1</v>
      </c>
      <c r="AC30" s="1353">
        <f t="shared" si="17"/>
        <v>1</v>
      </c>
    </row>
    <row r="31" spans="1:29" ht="1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v>0.5</v>
      </c>
      <c r="N31" s="2714">
        <v>0.5</v>
      </c>
      <c r="O31" s="2714"/>
      <c r="P31" s="3732"/>
      <c r="Q31" s="1352">
        <f t="shared" si="11"/>
        <v>111</v>
      </c>
      <c r="R31" s="705" t="s">
        <v>18</v>
      </c>
      <c r="S31" s="706">
        <f t="shared" si="12"/>
        <v>100</v>
      </c>
      <c r="T31" s="705" t="s">
        <v>18</v>
      </c>
      <c r="U31" s="706">
        <f t="shared" si="13"/>
        <v>100</v>
      </c>
      <c r="V31" s="705" t="s">
        <v>18</v>
      </c>
      <c r="W31" s="706">
        <f t="shared" si="14"/>
        <v>100</v>
      </c>
      <c r="X31" s="1355"/>
      <c r="Y31" s="3725"/>
      <c r="Z31" s="1356">
        <f t="shared" si="18"/>
        <v>111</v>
      </c>
      <c r="AA31" s="1353">
        <f t="shared" si="15"/>
        <v>1</v>
      </c>
      <c r="AB31" s="1353">
        <f t="shared" si="16"/>
        <v>1</v>
      </c>
      <c r="AC31" s="1353">
        <f t="shared" si="17"/>
        <v>1</v>
      </c>
    </row>
    <row r="32" spans="1:29" ht="15.5">
      <c r="A32" s="391" t="s">
        <v>1694</v>
      </c>
      <c r="B32" s="63" t="s">
        <v>1695</v>
      </c>
      <c r="C32" s="1910" t="s">
        <v>3406</v>
      </c>
      <c r="D32" s="418">
        <v>100</v>
      </c>
      <c r="E32" s="1911" t="s">
        <v>3406</v>
      </c>
      <c r="F32" s="412">
        <f>SUMIF(100:100,E32,101:101)-SUMIF(100:100,C32,101:101)+100</f>
        <v>100</v>
      </c>
      <c r="G32" s="1911" t="s">
        <v>3426</v>
      </c>
      <c r="H32" s="418">
        <f>SUMIF(100:100,G32,101:101)-SUMIF(100:100,C32,101:101)+100</f>
        <v>105</v>
      </c>
      <c r="I32" s="1911" t="s">
        <v>3426</v>
      </c>
      <c r="J32" s="386">
        <f>SUMIF(100:100,I32,101:101)-SUMIF(100:100,C32,101:101)+100</f>
        <v>105</v>
      </c>
      <c r="K32" s="377">
        <v>5</v>
      </c>
      <c r="L32" s="3463" t="s">
        <v>3436</v>
      </c>
      <c r="M32" s="3460" t="s">
        <v>3434</v>
      </c>
      <c r="N32" s="3460" t="s">
        <v>3435</v>
      </c>
      <c r="O32" s="3460" t="s">
        <v>3437</v>
      </c>
      <c r="P32" s="3726" t="s">
        <v>1696</v>
      </c>
      <c r="Q32" s="1352" t="str">
        <f t="shared" si="11"/>
        <v>建筑类型</v>
      </c>
      <c r="R32" s="705" t="s">
        <v>18</v>
      </c>
      <c r="S32" s="706">
        <f t="shared" si="12"/>
        <v>100</v>
      </c>
      <c r="T32" s="705" t="s">
        <v>18</v>
      </c>
      <c r="U32" s="706">
        <f t="shared" si="13"/>
        <v>105</v>
      </c>
      <c r="V32" s="705" t="s">
        <v>18</v>
      </c>
      <c r="W32" s="706">
        <f t="shared" si="14"/>
        <v>105</v>
      </c>
      <c r="X32" s="1355"/>
      <c r="Y32" s="3729" t="s">
        <v>1696</v>
      </c>
      <c r="Z32" s="1356" t="str">
        <f t="shared" si="18"/>
        <v>建筑类型</v>
      </c>
      <c r="AA32" s="1353">
        <f t="shared" si="15"/>
        <v>1</v>
      </c>
      <c r="AB32" s="1353">
        <f t="shared" si="16"/>
        <v>0.95238095238095233</v>
      </c>
      <c r="AC32" s="1353">
        <f t="shared" si="17"/>
        <v>0.95238095238095233</v>
      </c>
    </row>
    <row r="33" spans="1:29" s="422" customFormat="1" ht="15.5">
      <c r="A33" s="419"/>
      <c r="B33" s="375" t="s">
        <v>1697</v>
      </c>
      <c r="C33" s="420">
        <f>'数据-汇总表'!F19</f>
        <v>142.19</v>
      </c>
      <c r="D33" s="127">
        <v>100</v>
      </c>
      <c r="E33" s="381">
        <v>117.8</v>
      </c>
      <c r="F33" s="376">
        <f>LOOKUP(E33,103:103,104:104)-LOOKUP(C33,103:103,104:104)+100</f>
        <v>101</v>
      </c>
      <c r="G33" s="380">
        <v>77.73</v>
      </c>
      <c r="H33" s="3457">
        <f>LOOKUP(G33,103:103,104:104)-LOOKUP(C33,103:103,104:104)+100</f>
        <v>102</v>
      </c>
      <c r="I33" s="381">
        <v>119.12</v>
      </c>
      <c r="J33" s="127">
        <f>LOOKUP(I33,103:103,104:104)-LOOKUP(C33,103:103,104:104)+100</f>
        <v>101</v>
      </c>
      <c r="K33" s="1894"/>
      <c r="L33" s="3464">
        <v>1997</v>
      </c>
      <c r="M33" s="3466">
        <f>ROUND(1-(2023-L33)/60,2)</f>
        <v>0.56999999999999995</v>
      </c>
      <c r="N33" s="3466">
        <v>0.7</v>
      </c>
      <c r="O33" s="3465">
        <f>ROUND(M33*$M$31+N33*$N$31,3)</f>
        <v>0.63500000000000001</v>
      </c>
      <c r="P33" s="3727"/>
      <c r="Q33" s="707" t="str">
        <f t="shared" si="11"/>
        <v>项目建筑规模</v>
      </c>
      <c r="R33" s="708" t="s">
        <v>18</v>
      </c>
      <c r="S33" s="709">
        <f t="shared" si="12"/>
        <v>101</v>
      </c>
      <c r="T33" s="708" t="s">
        <v>18</v>
      </c>
      <c r="U33" s="709">
        <f t="shared" si="13"/>
        <v>102</v>
      </c>
      <c r="V33" s="708" t="s">
        <v>18</v>
      </c>
      <c r="W33" s="709">
        <f t="shared" si="14"/>
        <v>101</v>
      </c>
      <c r="X33" s="710"/>
      <c r="Y33" s="3729"/>
      <c r="Z33" s="711" t="str">
        <f t="shared" si="18"/>
        <v>项目建筑规模</v>
      </c>
      <c r="AA33" s="1353">
        <f t="shared" si="15"/>
        <v>0.99009900990099009</v>
      </c>
      <c r="AB33" s="1353">
        <f t="shared" si="16"/>
        <v>0.98039215686274506</v>
      </c>
      <c r="AC33" s="1353">
        <f t="shared" si="17"/>
        <v>0.99009900990099009</v>
      </c>
    </row>
    <row r="34" spans="1:29" ht="15.5">
      <c r="A34" s="423"/>
      <c r="B34" s="375" t="s">
        <v>1698</v>
      </c>
      <c r="C34" s="1912" t="s">
        <v>3428</v>
      </c>
      <c r="D34" s="386">
        <v>100</v>
      </c>
      <c r="E34" s="1912" t="s">
        <v>3428</v>
      </c>
      <c r="F34" s="412">
        <f>SUMIF(105:105,E34,106:106)-SUMIF(105:105,C34,106:106)+100</f>
        <v>100</v>
      </c>
      <c r="G34" s="1912" t="s">
        <v>3428</v>
      </c>
      <c r="H34" s="386">
        <f>SUMIF(105:105,G34,106:106)-SUMIF(105:105,C34,106:106)+100</f>
        <v>100</v>
      </c>
      <c r="I34" s="1912" t="s">
        <v>3428</v>
      </c>
      <c r="J34" s="386">
        <f>SUMIF(105:105,I34,106:106)-SUMIF(105:105,C34,106:106)+100</f>
        <v>100</v>
      </c>
      <c r="K34" s="377"/>
      <c r="L34" s="3464">
        <v>1999</v>
      </c>
      <c r="M34" s="3466">
        <f t="shared" ref="M34:M36" si="19">ROUND(1-(2023-L34)/60,2)</f>
        <v>0.6</v>
      </c>
      <c r="N34" s="3466">
        <v>0.7</v>
      </c>
      <c r="O34" s="3465">
        <f t="shared" ref="O34:O36" si="20">ROUND(M34*$M$31+N34*$N$31,3)</f>
        <v>0.65</v>
      </c>
      <c r="P34" s="3727"/>
      <c r="Q34" s="1352" t="str">
        <f t="shared" si="11"/>
        <v>建筑结构</v>
      </c>
      <c r="R34" s="705" t="s">
        <v>18</v>
      </c>
      <c r="S34" s="706">
        <f t="shared" si="12"/>
        <v>100</v>
      </c>
      <c r="T34" s="705" t="s">
        <v>18</v>
      </c>
      <c r="U34" s="706">
        <f t="shared" si="13"/>
        <v>100</v>
      </c>
      <c r="V34" s="705" t="s">
        <v>18</v>
      </c>
      <c r="W34" s="706">
        <f t="shared" si="14"/>
        <v>100</v>
      </c>
      <c r="X34" s="1355"/>
      <c r="Y34" s="3729"/>
      <c r="Z34" s="1356" t="str">
        <f t="shared" si="18"/>
        <v>建筑结构</v>
      </c>
      <c r="AA34" s="1353">
        <f t="shared" si="15"/>
        <v>1</v>
      </c>
      <c r="AB34" s="1353">
        <f t="shared" si="16"/>
        <v>1</v>
      </c>
      <c r="AC34" s="1353">
        <f t="shared" si="17"/>
        <v>1</v>
      </c>
    </row>
    <row r="35" spans="1:29" ht="15.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3464"/>
      <c r="M35" s="3466">
        <f t="shared" si="19"/>
        <v>-32.72</v>
      </c>
      <c r="N35" s="3466">
        <v>0.7</v>
      </c>
      <c r="O35" s="3465">
        <f t="shared" si="20"/>
        <v>-16.010000000000002</v>
      </c>
      <c r="P35" s="3727"/>
      <c r="Q35" s="1352" t="str">
        <f t="shared" si="11"/>
        <v>建筑品质</v>
      </c>
      <c r="R35" s="705" t="s">
        <v>18</v>
      </c>
      <c r="S35" s="706">
        <f t="shared" si="12"/>
        <v>100</v>
      </c>
      <c r="T35" s="705" t="s">
        <v>18</v>
      </c>
      <c r="U35" s="706">
        <f t="shared" si="13"/>
        <v>100</v>
      </c>
      <c r="V35" s="705" t="s">
        <v>18</v>
      </c>
      <c r="W35" s="706">
        <f t="shared" si="14"/>
        <v>100</v>
      </c>
      <c r="X35" s="1355"/>
      <c r="Y35" s="3729"/>
      <c r="Z35" s="1356" t="str">
        <f t="shared" si="18"/>
        <v>建筑品质</v>
      </c>
      <c r="AA35" s="1353">
        <f t="shared" si="15"/>
        <v>1</v>
      </c>
      <c r="AB35" s="1353">
        <f t="shared" si="16"/>
        <v>1</v>
      </c>
      <c r="AC35" s="1353">
        <f t="shared" si="17"/>
        <v>1</v>
      </c>
    </row>
    <row r="36" spans="1:29" ht="15.5">
      <c r="A36" s="423"/>
      <c r="B36" s="375" t="s">
        <v>1700</v>
      </c>
      <c r="C36" s="1906" t="s">
        <v>3424</v>
      </c>
      <c r="D36" s="386">
        <v>100</v>
      </c>
      <c r="E36" s="1906" t="s">
        <v>3424</v>
      </c>
      <c r="F36" s="412">
        <f>SUMIF(109:109,E36,110:110)-SUMIF(109:109,C36,110:110)+100</f>
        <v>100</v>
      </c>
      <c r="G36" s="1906" t="s">
        <v>3424</v>
      </c>
      <c r="H36" s="386">
        <f>SUMIF(109:109,G36,110:110)-SUMIF(109:109,C36,110:110)+100</f>
        <v>100</v>
      </c>
      <c r="I36" s="1906" t="s">
        <v>3424</v>
      </c>
      <c r="J36" s="386">
        <f>SUMIF(109:109,I36,110:110)-SUMIF(109:109,C36,110:110)+100</f>
        <v>100</v>
      </c>
      <c r="K36" s="377">
        <v>1</v>
      </c>
      <c r="L36" s="3464">
        <v>2001</v>
      </c>
      <c r="M36" s="3466">
        <f t="shared" si="19"/>
        <v>0.63</v>
      </c>
      <c r="N36" s="3466">
        <v>0.7</v>
      </c>
      <c r="O36" s="3465">
        <f t="shared" si="20"/>
        <v>0.66500000000000004</v>
      </c>
      <c r="P36" s="3727"/>
      <c r="Q36" s="1352" t="str">
        <f t="shared" si="11"/>
        <v>公共部分装修</v>
      </c>
      <c r="R36" s="705" t="s">
        <v>18</v>
      </c>
      <c r="S36" s="706">
        <f t="shared" si="12"/>
        <v>100</v>
      </c>
      <c r="T36" s="705" t="s">
        <v>18</v>
      </c>
      <c r="U36" s="706">
        <f t="shared" si="13"/>
        <v>100</v>
      </c>
      <c r="V36" s="705" t="s">
        <v>18</v>
      </c>
      <c r="W36" s="706">
        <f t="shared" si="14"/>
        <v>100</v>
      </c>
      <c r="X36" s="1355"/>
      <c r="Y36" s="3729"/>
      <c r="Z36" s="1356" t="str">
        <f t="shared" si="18"/>
        <v>公共部分装修</v>
      </c>
      <c r="AA36" s="1353">
        <f t="shared" si="15"/>
        <v>1</v>
      </c>
      <c r="AB36" s="1353">
        <f t="shared" si="16"/>
        <v>1</v>
      </c>
      <c r="AC36" s="1353">
        <f t="shared" si="17"/>
        <v>1</v>
      </c>
    </row>
    <row r="37" spans="1:29" s="108" customFormat="1" ht="15.5">
      <c r="A37" s="424"/>
      <c r="B37" s="375" t="s">
        <v>1701</v>
      </c>
      <c r="C37" s="3458">
        <v>0.63500000000000001</v>
      </c>
      <c r="D37" s="127">
        <v>100</v>
      </c>
      <c r="E37" s="3458">
        <v>0.63500000000000001</v>
      </c>
      <c r="F37" s="376">
        <f>LOOKUP(E37,112:112,113:113)-LOOKUP(C37,112:112,113:113)+100</f>
        <v>100</v>
      </c>
      <c r="G37" s="427">
        <v>0.65</v>
      </c>
      <c r="H37" s="127">
        <f>LOOKUP(G37,112:112,113:113)-LOOKUP(C37,112:112,113:113)+100</f>
        <v>100</v>
      </c>
      <c r="I37" s="3467">
        <v>0.66500000000000004</v>
      </c>
      <c r="J37" s="127">
        <f>LOOKUP(I37,112:112,113:113)-LOOKUP(C37,112:112,113:113)+100</f>
        <v>100</v>
      </c>
      <c r="K37" s="377">
        <v>2</v>
      </c>
      <c r="L37" s="3462"/>
      <c r="M37" s="2716"/>
      <c r="N37" s="2716"/>
      <c r="O37" s="2716"/>
      <c r="P37" s="3727"/>
      <c r="Q37" s="1343" t="str">
        <f t="shared" si="11"/>
        <v>成新度</v>
      </c>
      <c r="R37" s="701" t="s">
        <v>18</v>
      </c>
      <c r="S37" s="702">
        <f t="shared" si="12"/>
        <v>100</v>
      </c>
      <c r="T37" s="701" t="s">
        <v>18</v>
      </c>
      <c r="U37" s="702">
        <f t="shared" si="13"/>
        <v>100</v>
      </c>
      <c r="V37" s="701" t="s">
        <v>18</v>
      </c>
      <c r="W37" s="702">
        <f t="shared" si="14"/>
        <v>100</v>
      </c>
      <c r="X37" s="703"/>
      <c r="Y37" s="3729"/>
      <c r="Z37" s="52" t="str">
        <f t="shared" si="18"/>
        <v>成新度</v>
      </c>
      <c r="AA37" s="704">
        <f t="shared" si="15"/>
        <v>1</v>
      </c>
      <c r="AB37" s="704">
        <f t="shared" si="16"/>
        <v>1</v>
      </c>
      <c r="AC37" s="704">
        <f t="shared" si="17"/>
        <v>1</v>
      </c>
    </row>
    <row r="38" spans="1:29" ht="15.5">
      <c r="A38" s="423"/>
      <c r="B38" s="375" t="s">
        <v>1702</v>
      </c>
      <c r="C38" s="1906" t="s">
        <v>3429</v>
      </c>
      <c r="D38" s="386">
        <v>100</v>
      </c>
      <c r="E38" s="1906" t="s">
        <v>3429</v>
      </c>
      <c r="F38" s="412">
        <f>SUMIF(114:114,E38,115:115)-SUMIF(114:114,C38,115:115)+100</f>
        <v>100</v>
      </c>
      <c r="G38" s="1906" t="s">
        <v>3429</v>
      </c>
      <c r="H38" s="386">
        <f>SUMIF(114:114,G38,115:115)-SUMIF(114:114,C38,115:115)+100</f>
        <v>100</v>
      </c>
      <c r="I38" s="1906" t="s">
        <v>3429</v>
      </c>
      <c r="J38" s="386">
        <f>SUMIF(114:114,I38,115:115)-SUMIF(114:114,C38,115:115)+100</f>
        <v>100</v>
      </c>
      <c r="K38" s="377"/>
      <c r="L38" s="3461"/>
      <c r="M38" s="2714"/>
      <c r="N38" s="2714"/>
      <c r="O38" s="2714"/>
      <c r="P38" s="3727" t="s">
        <v>1696</v>
      </c>
      <c r="Q38" s="1352" t="str">
        <f t="shared" si="11"/>
        <v>物业管理</v>
      </c>
      <c r="R38" s="705" t="s">
        <v>18</v>
      </c>
      <c r="S38" s="706">
        <f t="shared" si="12"/>
        <v>100</v>
      </c>
      <c r="T38" s="705" t="s">
        <v>18</v>
      </c>
      <c r="U38" s="706">
        <f t="shared" si="13"/>
        <v>100</v>
      </c>
      <c r="V38" s="705" t="s">
        <v>18</v>
      </c>
      <c r="W38" s="706">
        <f t="shared" si="14"/>
        <v>100</v>
      </c>
      <c r="X38" s="1355"/>
      <c r="Y38" s="3729" t="s">
        <v>1696</v>
      </c>
      <c r="Z38" s="1356" t="str">
        <f t="shared" si="18"/>
        <v>物业管理</v>
      </c>
      <c r="AA38" s="1353">
        <f t="shared" si="15"/>
        <v>1</v>
      </c>
      <c r="AB38" s="1353">
        <f t="shared" si="16"/>
        <v>1</v>
      </c>
      <c r="AC38" s="1353">
        <f t="shared" si="17"/>
        <v>1</v>
      </c>
    </row>
    <row r="39" spans="1:29" ht="15.5">
      <c r="A39" s="423"/>
      <c r="B39" s="375" t="s">
        <v>1703</v>
      </c>
      <c r="C39" s="1906" t="s">
        <v>3423</v>
      </c>
      <c r="D39" s="386">
        <v>100</v>
      </c>
      <c r="E39" s="1906" t="s">
        <v>3423</v>
      </c>
      <c r="F39" s="412">
        <f>SUMIF(116:116,E39,117:117)-SUMIF(116:116,C39,117:117)+100</f>
        <v>100</v>
      </c>
      <c r="G39" s="1906" t="s">
        <v>3423</v>
      </c>
      <c r="H39" s="386">
        <f>SUMIF(116:116,G39,117:117)-SUMIF(116:116,C39,117:117)+100</f>
        <v>100</v>
      </c>
      <c r="I39" s="1906" t="s">
        <v>3423</v>
      </c>
      <c r="J39" s="386">
        <f>SUMIF(116:116,I39,117:117)-SUMIF(116:116,C39,117:117)+100</f>
        <v>100</v>
      </c>
      <c r="K39" s="377"/>
      <c r="L39" s="2720"/>
      <c r="M39" s="2714"/>
      <c r="N39" s="2714"/>
      <c r="O39" s="2714"/>
      <c r="P39" s="3727"/>
      <c r="Q39" s="1352" t="str">
        <f t="shared" si="11"/>
        <v>市政基础设施</v>
      </c>
      <c r="R39" s="705" t="s">
        <v>18</v>
      </c>
      <c r="S39" s="706">
        <f t="shared" si="12"/>
        <v>100</v>
      </c>
      <c r="T39" s="705" t="s">
        <v>18</v>
      </c>
      <c r="U39" s="706">
        <f t="shared" si="13"/>
        <v>100</v>
      </c>
      <c r="V39" s="705" t="s">
        <v>18</v>
      </c>
      <c r="W39" s="706">
        <f t="shared" si="14"/>
        <v>100</v>
      </c>
      <c r="X39" s="1355"/>
      <c r="Y39" s="3729"/>
      <c r="Z39" s="1356" t="str">
        <f t="shared" si="18"/>
        <v>市政基础设施</v>
      </c>
      <c r="AA39" s="1353">
        <f t="shared" si="15"/>
        <v>1</v>
      </c>
      <c r="AB39" s="1353">
        <f t="shared" si="16"/>
        <v>1</v>
      </c>
      <c r="AC39" s="1353">
        <f t="shared" si="17"/>
        <v>1</v>
      </c>
    </row>
    <row r="40" spans="1:29" ht="15.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7"/>
      <c r="Q40" s="1352" t="str">
        <f t="shared" si="11"/>
        <v>房型</v>
      </c>
      <c r="R40" s="705" t="s">
        <v>18</v>
      </c>
      <c r="S40" s="706">
        <f t="shared" si="12"/>
        <v>100</v>
      </c>
      <c r="T40" s="705" t="s">
        <v>18</v>
      </c>
      <c r="U40" s="706">
        <f t="shared" si="13"/>
        <v>100</v>
      </c>
      <c r="V40" s="705" t="s">
        <v>18</v>
      </c>
      <c r="W40" s="706">
        <f t="shared" si="14"/>
        <v>100</v>
      </c>
      <c r="X40" s="1355"/>
      <c r="Y40" s="3729"/>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7"/>
      <c r="Q41" s="707" t="str">
        <f t="shared" si="11"/>
        <v>单套/主力户型建筑面积</v>
      </c>
      <c r="R41" s="708" t="s">
        <v>18</v>
      </c>
      <c r="S41" s="709">
        <f t="shared" si="12"/>
        <v>100</v>
      </c>
      <c r="T41" s="708" t="s">
        <v>18</v>
      </c>
      <c r="U41" s="709">
        <f t="shared" si="13"/>
        <v>100</v>
      </c>
      <c r="V41" s="708" t="s">
        <v>18</v>
      </c>
      <c r="W41" s="709">
        <f t="shared" si="14"/>
        <v>100</v>
      </c>
      <c r="X41" s="710"/>
      <c r="Y41" s="3729"/>
      <c r="Z41" s="711" t="str">
        <f t="shared" si="18"/>
        <v>单套/主力户型建筑面积</v>
      </c>
      <c r="AA41" s="1353">
        <f t="shared" si="15"/>
        <v>1</v>
      </c>
      <c r="AB41" s="1353">
        <f t="shared" si="16"/>
        <v>1</v>
      </c>
      <c r="AC41" s="1353">
        <f t="shared" si="17"/>
        <v>1</v>
      </c>
    </row>
    <row r="42" spans="1:29" ht="15.5">
      <c r="A42" s="423"/>
      <c r="B42" s="375" t="s">
        <v>1706</v>
      </c>
      <c r="C42" s="1906" t="s">
        <v>3424</v>
      </c>
      <c r="D42" s="386">
        <v>100</v>
      </c>
      <c r="E42" s="1906" t="s">
        <v>3424</v>
      </c>
      <c r="F42" s="412">
        <f>SUMIF(122:122,E42,123:123)-SUMIF(122:122,C42,123:123)+100</f>
        <v>100</v>
      </c>
      <c r="G42" s="1906" t="s">
        <v>3424</v>
      </c>
      <c r="H42" s="386">
        <f>SUMIF(122:122,G42,123:123)-SUMIF(122:122,C42,123:123)+100</f>
        <v>100</v>
      </c>
      <c r="I42" s="1906" t="s">
        <v>3424</v>
      </c>
      <c r="J42" s="386">
        <f>SUMIF(122:122,I42,123:123)-SUMIF(122:122,C42,123:123)+100</f>
        <v>100</v>
      </c>
      <c r="K42" s="377"/>
      <c r="L42" s="2720"/>
      <c r="M42" s="2714"/>
      <c r="N42" s="2714"/>
      <c r="O42" s="2714"/>
      <c r="P42" s="3727"/>
      <c r="Q42" s="1352" t="str">
        <f t="shared" si="11"/>
        <v>内部装修</v>
      </c>
      <c r="R42" s="705" t="s">
        <v>18</v>
      </c>
      <c r="S42" s="706">
        <f t="shared" si="12"/>
        <v>100</v>
      </c>
      <c r="T42" s="705" t="s">
        <v>18</v>
      </c>
      <c r="U42" s="706">
        <f t="shared" si="13"/>
        <v>100</v>
      </c>
      <c r="V42" s="705" t="s">
        <v>18</v>
      </c>
      <c r="W42" s="706">
        <f t="shared" si="14"/>
        <v>100</v>
      </c>
      <c r="X42" s="1355"/>
      <c r="Y42" s="3729"/>
      <c r="Z42" s="1356" t="str">
        <f t="shared" si="18"/>
        <v>内部装修</v>
      </c>
      <c r="AA42" s="1353">
        <f t="shared" si="15"/>
        <v>1</v>
      </c>
      <c r="AB42" s="1353">
        <f t="shared" si="16"/>
        <v>1</v>
      </c>
      <c r="AC42" s="1353">
        <f t="shared" si="17"/>
        <v>1</v>
      </c>
    </row>
    <row r="43" spans="1:29" ht="28">
      <c r="A43" s="423"/>
      <c r="B43" s="375" t="s">
        <v>1707</v>
      </c>
      <c r="C43" s="1906" t="s">
        <v>3392</v>
      </c>
      <c r="D43" s="386">
        <v>100</v>
      </c>
      <c r="E43" s="1906" t="s">
        <v>3392</v>
      </c>
      <c r="F43" s="412">
        <f>SUMIF(124:124,E43,125:125)-SUMIF(124:124,C43,125:125)+100</f>
        <v>100</v>
      </c>
      <c r="G43" s="1906" t="s">
        <v>3392</v>
      </c>
      <c r="H43" s="386">
        <f>SUMIF(124:124,G43,125:125)-SUMIF(124:124,C43,125:125)+100</f>
        <v>100</v>
      </c>
      <c r="I43" s="1906" t="s">
        <v>3392</v>
      </c>
      <c r="J43" s="386">
        <f>SUMIF(124:124,I43,125:125)-SUMIF(124:124,C43,125:125)+100</f>
        <v>100</v>
      </c>
      <c r="K43" s="377"/>
      <c r="L43" s="2720"/>
      <c r="M43" s="2714"/>
      <c r="N43" s="2714"/>
      <c r="O43" s="2714"/>
      <c r="P43" s="3727"/>
      <c r="Q43" s="1352" t="str">
        <f t="shared" si="11"/>
        <v>内部装修维护情况</v>
      </c>
      <c r="R43" s="705" t="s">
        <v>18</v>
      </c>
      <c r="S43" s="706">
        <f t="shared" si="12"/>
        <v>100</v>
      </c>
      <c r="T43" s="705" t="s">
        <v>18</v>
      </c>
      <c r="U43" s="706">
        <f t="shared" si="13"/>
        <v>100</v>
      </c>
      <c r="V43" s="705" t="s">
        <v>18</v>
      </c>
      <c r="W43" s="706">
        <f t="shared" si="14"/>
        <v>100</v>
      </c>
      <c r="X43" s="1355"/>
      <c r="Y43" s="3729"/>
      <c r="Z43" s="1356" t="str">
        <f t="shared" si="18"/>
        <v>内部装修维护情况</v>
      </c>
      <c r="AA43" s="1353">
        <f t="shared" si="15"/>
        <v>1</v>
      </c>
      <c r="AB43" s="1353">
        <f t="shared" si="16"/>
        <v>1</v>
      </c>
      <c r="AC43" s="1353">
        <f t="shared" si="17"/>
        <v>1</v>
      </c>
    </row>
    <row r="44" spans="1:29" s="108" customFormat="1" ht="15.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7"/>
      <c r="Q44" s="1343">
        <f t="shared" si="11"/>
        <v>111</v>
      </c>
      <c r="R44" s="701" t="s">
        <v>18</v>
      </c>
      <c r="S44" s="702">
        <f t="shared" si="12"/>
        <v>100</v>
      </c>
      <c r="T44" s="701" t="s">
        <v>18</v>
      </c>
      <c r="U44" s="702">
        <f t="shared" si="13"/>
        <v>100</v>
      </c>
      <c r="V44" s="701" t="s">
        <v>18</v>
      </c>
      <c r="W44" s="702">
        <f t="shared" si="14"/>
        <v>100</v>
      </c>
      <c r="X44" s="703"/>
      <c r="Y44" s="3729"/>
      <c r="Z44" s="52">
        <f t="shared" si="18"/>
        <v>111</v>
      </c>
      <c r="AA44" s="704">
        <f t="shared" si="15"/>
        <v>1</v>
      </c>
      <c r="AB44" s="704">
        <f t="shared" si="16"/>
        <v>1</v>
      </c>
      <c r="AC44" s="704">
        <f t="shared" si="17"/>
        <v>1</v>
      </c>
    </row>
    <row r="45" spans="1:29" ht="15.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v>2001</v>
      </c>
      <c r="N45" s="2714"/>
      <c r="O45" s="2714"/>
      <c r="P45" s="3727"/>
      <c r="Q45" s="1352">
        <f t="shared" si="11"/>
        <v>111</v>
      </c>
      <c r="R45" s="705" t="s">
        <v>18</v>
      </c>
      <c r="S45" s="706">
        <f t="shared" si="12"/>
        <v>100</v>
      </c>
      <c r="T45" s="705" t="s">
        <v>18</v>
      </c>
      <c r="U45" s="706">
        <f t="shared" si="13"/>
        <v>100</v>
      </c>
      <c r="V45" s="705" t="s">
        <v>18</v>
      </c>
      <c r="W45" s="706">
        <f t="shared" si="14"/>
        <v>100</v>
      </c>
      <c r="X45" s="1355"/>
      <c r="Y45" s="3729"/>
      <c r="Z45" s="1356">
        <f t="shared" si="18"/>
        <v>111</v>
      </c>
      <c r="AA45" s="1353">
        <f t="shared" si="15"/>
        <v>1</v>
      </c>
      <c r="AB45" s="1353">
        <f t="shared" si="16"/>
        <v>1</v>
      </c>
      <c r="AC45" s="1353">
        <f t="shared" si="17"/>
        <v>1</v>
      </c>
    </row>
    <row r="46" spans="1:29" ht="1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f>1-(2023-M45)/60</f>
        <v>0.6333333333333333</v>
      </c>
      <c r="N46" s="2714">
        <v>0.75</v>
      </c>
      <c r="O46" s="2714"/>
      <c r="P46" s="3728"/>
      <c r="Q46" s="1352">
        <f t="shared" si="11"/>
        <v>111</v>
      </c>
      <c r="R46" s="705" t="s">
        <v>17</v>
      </c>
      <c r="S46" s="706">
        <f t="shared" si="12"/>
        <v>100</v>
      </c>
      <c r="T46" s="705" t="s">
        <v>17</v>
      </c>
      <c r="U46" s="706">
        <f t="shared" si="13"/>
        <v>100</v>
      </c>
      <c r="V46" s="705" t="s">
        <v>17</v>
      </c>
      <c r="W46" s="706">
        <f t="shared" si="14"/>
        <v>100</v>
      </c>
      <c r="X46" s="1355"/>
      <c r="Y46" s="3730"/>
      <c r="Z46" s="1356">
        <f t="shared" si="18"/>
        <v>111</v>
      </c>
      <c r="AA46" s="1353">
        <f t="shared" si="15"/>
        <v>1</v>
      </c>
      <c r="AB46" s="1353">
        <f t="shared" si="16"/>
        <v>1</v>
      </c>
      <c r="AC46" s="1353">
        <f t="shared" si="17"/>
        <v>1</v>
      </c>
    </row>
    <row r="47" spans="1:29">
      <c r="A47" s="430" t="s">
        <v>1708</v>
      </c>
      <c r="B47" s="431"/>
      <c r="C47" s="1154" t="s">
        <v>16</v>
      </c>
      <c r="D47" s="1155"/>
      <c r="E47" s="1156">
        <v>89134</v>
      </c>
      <c r="F47" s="1157"/>
      <c r="G47" s="1158">
        <v>96102</v>
      </c>
      <c r="H47" s="1159"/>
      <c r="I47" s="1156">
        <v>100739</v>
      </c>
      <c r="J47" s="1159"/>
      <c r="K47" s="1913"/>
      <c r="L47" s="2722"/>
      <c r="M47" s="2723">
        <v>0.7</v>
      </c>
      <c r="N47" s="2714"/>
      <c r="O47" s="2723"/>
      <c r="P47" s="3722" t="str">
        <f>A47</f>
        <v>成交单价（元/平方米）</v>
      </c>
      <c r="Q47" s="3722"/>
      <c r="R47" s="3723">
        <f>E47</f>
        <v>89134</v>
      </c>
      <c r="S47" s="3723"/>
      <c r="T47" s="3723">
        <f>G47</f>
        <v>96102</v>
      </c>
      <c r="U47" s="3723"/>
      <c r="V47" s="3723">
        <f>I47</f>
        <v>100739</v>
      </c>
      <c r="W47" s="3723"/>
      <c r="X47" s="690"/>
      <c r="Y47" s="712"/>
      <c r="Z47" s="690"/>
      <c r="AA47" s="690"/>
      <c r="AB47" s="690"/>
      <c r="AC47" s="690"/>
    </row>
    <row r="48" spans="1:29" ht="14.5" thickBot="1">
      <c r="A48" s="437" t="s">
        <v>1709</v>
      </c>
      <c r="B48" s="438"/>
      <c r="C48" s="1160">
        <f>R49</f>
        <v>92886</v>
      </c>
      <c r="D48" s="2315" t="s">
        <v>2138</v>
      </c>
      <c r="E48" s="1161">
        <f>R48</f>
        <v>89161</v>
      </c>
      <c r="F48" s="2316"/>
      <c r="G48" s="1160">
        <f>T48</f>
        <v>92487</v>
      </c>
      <c r="H48" s="2316"/>
      <c r="I48" s="1161">
        <f>V48</f>
        <v>97010</v>
      </c>
      <c r="J48" s="2316"/>
      <c r="K48" s="2317">
        <f>F48+H48+J48</f>
        <v>0</v>
      </c>
      <c r="L48" s="2722"/>
      <c r="M48" s="2723"/>
      <c r="N48" s="2723"/>
      <c r="O48" s="2723"/>
      <c r="P48" s="3722" t="str">
        <f>A48</f>
        <v>比较价值（元/平方米）</v>
      </c>
      <c r="Q48" s="3722"/>
      <c r="R48" s="3723">
        <f>IF(F1="售价",ROUND(PRODUCT(R47,AA7:AA46),0),ROUND(PRODUCT(R47,AA7:AA46),1))</f>
        <v>89161</v>
      </c>
      <c r="S48" s="3723"/>
      <c r="T48" s="3723">
        <f>IF(F1="售价",ROUND(PRODUCT(T47,AB7:AB46),0),ROUND(PRODUCT(T47,AB7:AB46),1))</f>
        <v>92487</v>
      </c>
      <c r="U48" s="3723"/>
      <c r="V48" s="3723">
        <f>IF(F1="售价",ROUND(PRODUCT(V47,AC7:AC46),0),ROUND(PRODUCT(V47,AC7:AC46),1))</f>
        <v>97010</v>
      </c>
      <c r="W48" s="3723"/>
      <c r="X48" s="690"/>
      <c r="Y48" s="690"/>
      <c r="Z48" s="690"/>
      <c r="AA48" s="690"/>
      <c r="AB48" s="690"/>
      <c r="AC48" s="690"/>
    </row>
    <row r="49" spans="1:29" ht="14.5" thickBot="1">
      <c r="A49" s="441" t="s">
        <v>1710</v>
      </c>
      <c r="B49" s="442"/>
      <c r="C49" s="1162">
        <f>R49</f>
        <v>92886</v>
      </c>
      <c r="D49" s="1163"/>
      <c r="E49" s="1163"/>
      <c r="F49" s="1163"/>
      <c r="G49" s="1163"/>
      <c r="H49" s="1163"/>
      <c r="I49" s="1163"/>
      <c r="J49" s="1163"/>
      <c r="K49" s="1914"/>
      <c r="L49" s="2722"/>
      <c r="M49" s="2723"/>
      <c r="N49" s="2723"/>
      <c r="O49" s="2723"/>
      <c r="P49" s="3719" t="str">
        <f>A49</f>
        <v>估价对象XX用房的比较价值（楼面单价，元/平方米）</v>
      </c>
      <c r="Q49" s="3720"/>
      <c r="R49" s="3721">
        <f>IF(F1="售价",ROUND(IF(D48="简单平均",AVERAGE(R48:V48),R48*F48+T48*H48+V48*J48),0),ROUND(IF(D48="简单平均",AVERAGE(R48:V48),R48*F48+T48*H48+V48*J48),1))</f>
        <v>92886</v>
      </c>
      <c r="S49" s="3721"/>
      <c r="T49" s="3721"/>
      <c r="U49" s="3721"/>
      <c r="V49" s="3721"/>
      <c r="W49" s="3721"/>
      <c r="X49" s="690"/>
      <c r="Y49" s="690"/>
      <c r="Z49" s="690"/>
      <c r="AA49" s="690"/>
      <c r="AB49" s="690"/>
      <c r="AC49" s="690"/>
    </row>
    <row r="50" spans="1:29">
      <c r="A50" s="2723"/>
      <c r="B50" s="2723"/>
      <c r="C50" s="2723">
        <v>1997</v>
      </c>
      <c r="D50" s="2723"/>
      <c r="E50" s="2723">
        <v>1997</v>
      </c>
      <c r="F50" s="2723"/>
      <c r="G50" s="2723">
        <v>1999</v>
      </c>
      <c r="H50" s="2723"/>
      <c r="I50" s="2723">
        <v>2001</v>
      </c>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3.0291471267984704E-4</v>
      </c>
      <c r="F52" s="449" t="str">
        <f>IF(OR(E52&gt;=0.3,E52&lt;=-0.3),"超过30%","")</f>
        <v/>
      </c>
      <c r="G52" s="448">
        <f>IF(G47&lt;G48,G48/G47-1,G47/G48-1)</f>
        <v>3.9086574329365131E-2</v>
      </c>
      <c r="H52" s="449" t="str">
        <f>IF(OR(G52&gt;=0.3,G52&lt;=-0.3),"超过30%","")</f>
        <v/>
      </c>
      <c r="I52" s="448">
        <f>IF(I47&lt;I48,I48/I47-1,I47/I48-1)</f>
        <v>3.8439336150912329E-2</v>
      </c>
      <c r="J52" s="449" t="str">
        <f>IF(OR(I52&gt;=0.3,I52&lt;=-0.3),"超过30%","")</f>
        <v/>
      </c>
      <c r="K52" s="2728"/>
      <c r="L52" s="2724"/>
      <c r="M52" s="2723"/>
      <c r="N52" s="2723"/>
      <c r="O52" s="2723"/>
    </row>
    <row r="53" spans="1:29" ht="13.5" customHeight="1">
      <c r="A53" s="2723"/>
      <c r="B53" s="2723"/>
      <c r="C53" s="446" t="s">
        <v>1712</v>
      </c>
      <c r="D53" s="450"/>
      <c r="E53" s="448">
        <f>IF(E48&lt;G48,G48/E48-1,E48/G48-1)</f>
        <v>3.7303305256782604E-2</v>
      </c>
      <c r="F53" s="449" t="str">
        <f>IF(OR(E53&gt;=0.2,E53&lt;=-0.2),"超过20%","")</f>
        <v/>
      </c>
      <c r="G53" s="448">
        <f>IF(G48&lt;I48,I48/G48-1,G48/I48-1)</f>
        <v>4.8904170315828166E-2</v>
      </c>
      <c r="H53" s="449" t="str">
        <f>IF(OR(G53&gt;=0.2,G53&lt;=-0.2),"超过20%","")</f>
        <v/>
      </c>
      <c r="I53" s="448">
        <f>IF(I48&lt;E48,E48/I48-1,I48/E48-1)</f>
        <v>8.8031762766231925E-2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7.8174433998249748E-2</v>
      </c>
      <c r="F54" s="449" t="str">
        <f>IF(OR(E54&gt;=0.3,E54&lt;=-0.3),"超过30%","")</f>
        <v/>
      </c>
      <c r="G54" s="448">
        <f>IF(G47&lt;I47,I47/G47-1,G47/I47-1)</f>
        <v>4.8250816840440303E-2</v>
      </c>
      <c r="H54" s="449" t="str">
        <f>IF(OR(G54&gt;=0.3,G54&lt;=-0.3),"超过30%","")</f>
        <v/>
      </c>
      <c r="I54" s="448">
        <f>IF(I47&lt;E47,E47/I47-1,I47/E47-1)</f>
        <v>0.13019723113514492</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5" thickBot="1">
      <c r="A57" s="694" t="s">
        <v>1714</v>
      </c>
      <c r="B57" s="690"/>
      <c r="C57" s="695"/>
      <c r="D57" s="695"/>
      <c r="E57" s="695"/>
      <c r="F57" s="696"/>
      <c r="G57" s="696"/>
      <c r="H57" s="695"/>
      <c r="I57" s="695"/>
      <c r="J57" s="695"/>
      <c r="K57" s="941"/>
      <c r="L57" s="942"/>
      <c r="M57" s="940"/>
      <c r="N57" s="940"/>
      <c r="O57" s="940"/>
      <c r="P57" s="1917"/>
      <c r="Q57" s="453"/>
    </row>
    <row r="58" spans="1:29" s="457" customFormat="1">
      <c r="A58" s="454" t="s">
        <v>1715</v>
      </c>
      <c r="B58" s="455"/>
      <c r="C58" s="1186" t="str">
        <f>YEAR(C7)&amp;"-"&amp;MONTH(C7)</f>
        <v>2023-5</v>
      </c>
      <c r="D58" s="1185">
        <f>EDATE(C58,-1)</f>
        <v>45017</v>
      </c>
      <c r="E58" s="1185">
        <f>EDATE(D58,-1)</f>
        <v>44986</v>
      </c>
      <c r="F58" s="1185">
        <f t="shared" ref="F58:O58" si="21">EDATE(E58,-1)</f>
        <v>44958</v>
      </c>
      <c r="G58" s="1185">
        <f t="shared" si="21"/>
        <v>44927</v>
      </c>
      <c r="H58" s="1185">
        <f t="shared" si="21"/>
        <v>44896</v>
      </c>
      <c r="I58" s="1185">
        <f t="shared" si="21"/>
        <v>44866</v>
      </c>
      <c r="J58" s="1185">
        <f t="shared" si="21"/>
        <v>44835</v>
      </c>
      <c r="K58" s="1185">
        <f t="shared" si="21"/>
        <v>44805</v>
      </c>
      <c r="L58" s="1185">
        <f t="shared" si="21"/>
        <v>44774</v>
      </c>
      <c r="M58" s="1185">
        <f t="shared" si="21"/>
        <v>44743</v>
      </c>
      <c r="N58" s="1185">
        <f t="shared" si="21"/>
        <v>44713</v>
      </c>
      <c r="O58" s="1185">
        <f t="shared" si="21"/>
        <v>44682</v>
      </c>
      <c r="P58" s="1181"/>
    </row>
    <row r="59" spans="1:29" s="108" customFormat="1">
      <c r="A59" s="458"/>
      <c r="B59" s="1918"/>
      <c r="C59" s="1183">
        <v>100</v>
      </c>
      <c r="D59" s="460">
        <v>100</v>
      </c>
      <c r="E59" s="461">
        <v>100</v>
      </c>
      <c r="F59" s="461">
        <v>100</v>
      </c>
      <c r="G59" s="461">
        <v>100</v>
      </c>
      <c r="H59" s="461"/>
      <c r="I59" s="461"/>
      <c r="J59" s="461"/>
      <c r="K59" s="461"/>
      <c r="L59" s="461"/>
      <c r="M59" s="462"/>
      <c r="N59" s="461"/>
      <c r="O59" s="462"/>
      <c r="P59" s="1919"/>
    </row>
    <row r="60" spans="1:29" s="108" customFormat="1" ht="14.5" thickBot="1">
      <c r="A60" s="464" t="s">
        <v>1716</v>
      </c>
      <c r="B60" s="465"/>
      <c r="C60" s="466"/>
      <c r="D60" s="467"/>
      <c r="E60" s="467"/>
      <c r="F60" s="467"/>
      <c r="G60" s="467"/>
      <c r="H60" s="467"/>
      <c r="I60" s="467"/>
      <c r="J60" s="467"/>
      <c r="K60" s="467"/>
      <c r="L60" s="467"/>
      <c r="M60" s="468"/>
      <c r="N60" s="467"/>
      <c r="O60" s="468"/>
      <c r="P60" s="1919"/>
      <c r="Q60" s="453"/>
    </row>
    <row r="61" spans="1:29" s="108" customFormat="1">
      <c r="A61" s="470" t="s">
        <v>1717</v>
      </c>
      <c r="B61" s="459"/>
      <c r="C61" s="471" t="s">
        <v>1718</v>
      </c>
      <c r="D61" s="472"/>
      <c r="E61" s="472"/>
      <c r="F61" s="472"/>
      <c r="G61" s="472"/>
      <c r="H61" s="472"/>
      <c r="I61" s="472"/>
      <c r="J61" s="472"/>
      <c r="K61" s="472"/>
      <c r="L61" s="473"/>
      <c r="M61" s="474"/>
      <c r="N61" s="932"/>
      <c r="O61" s="932"/>
      <c r="P61" s="1920"/>
      <c r="Q61" s="453"/>
    </row>
    <row r="62" spans="1:29" s="108" customFormat="1" ht="14.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4.5" thickBot="1">
      <c r="A64" s="483"/>
      <c r="B64" s="484"/>
      <c r="C64" s="485">
        <v>100</v>
      </c>
      <c r="D64" s="485"/>
      <c r="E64" s="485"/>
      <c r="F64" s="485"/>
      <c r="G64" s="485"/>
      <c r="H64" s="485"/>
      <c r="I64" s="485"/>
      <c r="J64" s="485"/>
      <c r="K64" s="485"/>
      <c r="L64" s="485"/>
      <c r="M64" s="486"/>
      <c r="N64" s="934"/>
      <c r="O64" s="934"/>
      <c r="P64" s="1921"/>
      <c r="Q64" s="453"/>
    </row>
    <row r="65" spans="1:17" ht="28.5" thickTop="1">
      <c r="A65" s="483"/>
      <c r="B65" s="487" t="s">
        <v>1688</v>
      </c>
      <c r="C65" s="532"/>
      <c r="D65" s="532"/>
      <c r="E65" s="532"/>
      <c r="F65" s="532"/>
      <c r="G65" s="532"/>
      <c r="H65" s="532"/>
      <c r="I65" s="532"/>
      <c r="J65" s="532"/>
      <c r="K65" s="532"/>
      <c r="L65" s="532"/>
      <c r="M65" s="532"/>
      <c r="N65" s="934"/>
      <c r="O65" s="934"/>
      <c r="P65" s="1921"/>
      <c r="Q65" s="453"/>
    </row>
    <row r="66" spans="1:17" ht="14.5" thickBot="1">
      <c r="A66" s="483"/>
      <c r="B66" s="492"/>
      <c r="C66" s="485"/>
      <c r="D66" s="485"/>
      <c r="E66" s="485"/>
      <c r="F66" s="485"/>
      <c r="G66" s="485"/>
      <c r="H66" s="485"/>
      <c r="I66" s="485"/>
      <c r="J66" s="485"/>
      <c r="K66" s="485"/>
      <c r="L66" s="485"/>
      <c r="M66" s="486"/>
      <c r="N66" s="934"/>
      <c r="O66" s="934"/>
      <c r="P66" s="1921"/>
      <c r="Q66" s="453"/>
    </row>
    <row r="67" spans="1:17" ht="14.5" thickTop="1">
      <c r="A67" s="483"/>
      <c r="B67" s="495" t="s">
        <v>1689</v>
      </c>
      <c r="C67" s="496" t="str">
        <f>C68&amp;"（含）"&amp;"-"&amp;D68</f>
        <v>0（含）-1</v>
      </c>
      <c r="D67" s="496" t="str">
        <f t="shared" ref="D67:L67" si="22">D68&amp;"（含）"&amp;"-"&amp;E68</f>
        <v>1（含）-2</v>
      </c>
      <c r="E67" s="496" t="str">
        <f t="shared" si="22"/>
        <v>2（含）-3</v>
      </c>
      <c r="F67" s="496" t="str">
        <f t="shared" si="22"/>
        <v>3（含）-</v>
      </c>
      <c r="G67" s="496" t="str">
        <f t="shared" si="22"/>
        <v>（含）-</v>
      </c>
      <c r="H67" s="496" t="str">
        <f t="shared" si="22"/>
        <v>（含）-</v>
      </c>
      <c r="I67" s="496" t="str">
        <f t="shared" si="22"/>
        <v>（含）-</v>
      </c>
      <c r="J67" s="496" t="str">
        <f t="shared" si="22"/>
        <v>（含）-</v>
      </c>
      <c r="K67" s="496" t="str">
        <f>K68&amp;"（含）"&amp;"-"&amp;L68</f>
        <v>（含）-</v>
      </c>
      <c r="L67" s="496" t="str">
        <f t="shared" si="22"/>
        <v>（含）-</v>
      </c>
      <c r="M67" s="399" t="str">
        <f>M68&amp;"（含）"&amp;"-"&amp;P68</f>
        <v>（含）-</v>
      </c>
      <c r="N67" s="934"/>
      <c r="O67" s="934"/>
      <c r="P67" s="1921"/>
      <c r="Q67" s="453"/>
    </row>
    <row r="68" spans="1:17">
      <c r="A68" s="483"/>
      <c r="B68" s="497"/>
      <c r="C68" s="498">
        <v>0</v>
      </c>
      <c r="D68" s="498">
        <v>1</v>
      </c>
      <c r="E68" s="498">
        <v>2</v>
      </c>
      <c r="F68" s="498">
        <v>3</v>
      </c>
      <c r="G68" s="498"/>
      <c r="H68" s="498"/>
      <c r="I68" s="498"/>
      <c r="J68" s="498"/>
      <c r="K68" s="499"/>
      <c r="L68" s="500"/>
      <c r="M68" s="501"/>
      <c r="N68" s="933"/>
      <c r="O68" s="933"/>
      <c r="P68" s="1921"/>
      <c r="Q68" s="453"/>
    </row>
    <row r="69" spans="1:17" ht="14.5" thickBot="1">
      <c r="A69" s="483"/>
      <c r="B69" s="484"/>
      <c r="C69" s="493">
        <v>100</v>
      </c>
      <c r="D69" s="493">
        <f t="shared" ref="D69:M69" si="23">C69-$K11</f>
        <v>100</v>
      </c>
      <c r="E69" s="493">
        <f t="shared" si="23"/>
        <v>100</v>
      </c>
      <c r="F69" s="493">
        <f t="shared" si="23"/>
        <v>100</v>
      </c>
      <c r="G69" s="493">
        <f t="shared" si="23"/>
        <v>100</v>
      </c>
      <c r="H69" s="493">
        <f t="shared" si="23"/>
        <v>100</v>
      </c>
      <c r="I69" s="493">
        <f t="shared" si="23"/>
        <v>100</v>
      </c>
      <c r="J69" s="493">
        <f t="shared" si="23"/>
        <v>100</v>
      </c>
      <c r="K69" s="493">
        <f t="shared" si="23"/>
        <v>100</v>
      </c>
      <c r="L69" s="493">
        <f t="shared" si="23"/>
        <v>100</v>
      </c>
      <c r="M69" s="494">
        <f t="shared" si="23"/>
        <v>100</v>
      </c>
      <c r="N69" s="934"/>
      <c r="O69" s="934"/>
      <c r="P69" s="1921"/>
      <c r="Q69" s="453"/>
    </row>
    <row r="70" spans="1:17" s="422" customFormat="1" ht="14.5" thickTop="1">
      <c r="A70" s="502"/>
      <c r="B70" s="487">
        <f>B12</f>
        <v>111</v>
      </c>
      <c r="C70" s="503"/>
      <c r="D70" s="503"/>
      <c r="E70" s="503"/>
      <c r="F70" s="503"/>
      <c r="G70" s="503"/>
      <c r="H70" s="504"/>
      <c r="I70" s="504"/>
      <c r="J70" s="504"/>
      <c r="K70" s="504"/>
      <c r="L70" s="505"/>
      <c r="M70" s="506"/>
      <c r="N70" s="935"/>
      <c r="O70" s="935"/>
      <c r="P70" s="1922"/>
      <c r="Q70" s="508"/>
    </row>
    <row r="71" spans="1:17" s="422" customFormat="1" ht="14.5" thickBot="1">
      <c r="A71" s="502"/>
      <c r="B71" s="492"/>
      <c r="C71" s="509"/>
      <c r="D71" s="485"/>
      <c r="E71" s="485"/>
      <c r="F71" s="485"/>
      <c r="G71" s="485"/>
      <c r="H71" s="485"/>
      <c r="I71" s="485"/>
      <c r="J71" s="485"/>
      <c r="K71" s="485"/>
      <c r="L71" s="485"/>
      <c r="M71" s="486"/>
      <c r="N71" s="934"/>
      <c r="O71" s="934"/>
      <c r="P71" s="1922"/>
      <c r="Q71" s="508"/>
    </row>
    <row r="72" spans="1:17" s="422" customFormat="1" ht="14.5" thickTop="1">
      <c r="A72" s="502"/>
      <c r="B72" s="487">
        <f>B13</f>
        <v>111</v>
      </c>
      <c r="C72" s="503"/>
      <c r="D72" s="503"/>
      <c r="E72" s="503"/>
      <c r="F72" s="503"/>
      <c r="G72" s="503"/>
      <c r="H72" s="504"/>
      <c r="I72" s="504"/>
      <c r="J72" s="504"/>
      <c r="K72" s="504"/>
      <c r="L72" s="505"/>
      <c r="M72" s="506"/>
      <c r="N72" s="935"/>
      <c r="O72" s="935"/>
      <c r="P72" s="1923"/>
      <c r="Q72" s="510"/>
    </row>
    <row r="73" spans="1:17" s="422" customFormat="1" ht="14.5" thickBot="1">
      <c r="A73" s="502"/>
      <c r="B73" s="492"/>
      <c r="C73" s="509"/>
      <c r="D73" s="509"/>
      <c r="E73" s="509"/>
      <c r="F73" s="509"/>
      <c r="G73" s="509"/>
      <c r="H73" s="511"/>
      <c r="I73" s="511"/>
      <c r="J73" s="511"/>
      <c r="K73" s="511"/>
      <c r="L73" s="511"/>
      <c r="M73" s="512"/>
      <c r="N73" s="935"/>
      <c r="O73" s="935"/>
      <c r="P73" s="1922"/>
      <c r="Q73" s="508"/>
    </row>
    <row r="74" spans="1:17" s="422" customFormat="1" ht="14.5" thickTop="1">
      <c r="A74" s="502"/>
      <c r="B74" s="495">
        <f>B14</f>
        <v>111</v>
      </c>
      <c r="C74" s="503"/>
      <c r="D74" s="503"/>
      <c r="E74" s="503"/>
      <c r="F74" s="503"/>
      <c r="G74" s="472"/>
      <c r="H74" s="513"/>
      <c r="I74" s="513"/>
      <c r="J74" s="513"/>
      <c r="K74" s="513"/>
      <c r="L74" s="514"/>
      <c r="M74" s="515"/>
      <c r="N74" s="935"/>
      <c r="O74" s="935"/>
      <c r="P74" s="1924"/>
      <c r="Q74" s="508"/>
    </row>
    <row r="75" spans="1:17" s="422" customFormat="1" ht="14.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4.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4.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4.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5" thickBot="1">
      <c r="A83" s="483"/>
      <c r="B83" s="495"/>
      <c r="C83" s="608">
        <v>100</v>
      </c>
      <c r="D83" s="608">
        <f>C83-$K21</f>
        <v>100</v>
      </c>
      <c r="E83" s="608">
        <f t="shared" ref="E83:G83" si="24">D83-$K21</f>
        <v>100</v>
      </c>
      <c r="F83" s="608">
        <f t="shared" si="24"/>
        <v>100</v>
      </c>
      <c r="G83" s="608">
        <f t="shared" si="24"/>
        <v>100</v>
      </c>
      <c r="H83" s="608"/>
      <c r="I83" s="608"/>
      <c r="J83" s="608"/>
      <c r="K83" s="608"/>
      <c r="L83" s="608"/>
      <c r="M83" s="401"/>
      <c r="N83" s="934"/>
      <c r="O83" s="934"/>
      <c r="P83" s="1921"/>
      <c r="Q83" s="453"/>
    </row>
    <row r="84" spans="1:17" ht="14.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1734</v>
      </c>
      <c r="C86" s="503"/>
      <c r="D86" s="503"/>
      <c r="E86" s="503"/>
      <c r="F86" s="503"/>
      <c r="G86" s="503"/>
      <c r="H86" s="503"/>
      <c r="I86" s="503"/>
      <c r="J86" s="503"/>
      <c r="K86" s="503"/>
      <c r="L86" s="529"/>
      <c r="M86" s="530"/>
      <c r="N86" s="932"/>
      <c r="O86" s="932"/>
      <c r="P86" s="1921"/>
      <c r="Q86" s="453"/>
    </row>
    <row r="87" spans="1:17" s="108" customFormat="1" ht="14.5" thickBot="1">
      <c r="A87" s="528"/>
      <c r="B87" s="492"/>
      <c r="C87" s="531">
        <v>100</v>
      </c>
      <c r="D87" s="493">
        <f t="shared" ref="D87:M87" si="25">$C$87-($C$86-D86)*$K$25</f>
        <v>100</v>
      </c>
      <c r="E87" s="493">
        <f t="shared" si="25"/>
        <v>100</v>
      </c>
      <c r="F87" s="493">
        <f t="shared" si="25"/>
        <v>100</v>
      </c>
      <c r="G87" s="493">
        <f t="shared" si="25"/>
        <v>100</v>
      </c>
      <c r="H87" s="493">
        <f t="shared" si="25"/>
        <v>100</v>
      </c>
      <c r="I87" s="493">
        <f t="shared" si="25"/>
        <v>100</v>
      </c>
      <c r="J87" s="493">
        <f t="shared" si="25"/>
        <v>100</v>
      </c>
      <c r="K87" s="493">
        <f t="shared" si="25"/>
        <v>100</v>
      </c>
      <c r="L87" s="493">
        <f t="shared" si="25"/>
        <v>100</v>
      </c>
      <c r="M87" s="493">
        <f t="shared" si="25"/>
        <v>100</v>
      </c>
      <c r="N87" s="934"/>
      <c r="O87" s="934"/>
      <c r="P87" s="1921"/>
      <c r="Q87" s="453"/>
    </row>
    <row r="88" spans="1:17" s="108" customFormat="1" ht="14.5" thickTop="1">
      <c r="A88" s="528"/>
      <c r="B88" s="487" t="s">
        <v>1735</v>
      </c>
      <c r="C88" s="3448" t="s">
        <v>3415</v>
      </c>
      <c r="D88" s="3448" t="s">
        <v>3432</v>
      </c>
      <c r="E88" s="3448" t="s">
        <v>3433</v>
      </c>
      <c r="F88" s="3454" t="s">
        <v>3417</v>
      </c>
      <c r="G88" s="503"/>
      <c r="H88" s="503"/>
      <c r="I88" s="503"/>
      <c r="J88" s="503"/>
      <c r="K88" s="503"/>
      <c r="L88" s="503"/>
      <c r="M88" s="530"/>
      <c r="N88" s="932"/>
      <c r="O88" s="932"/>
      <c r="P88" s="1921"/>
      <c r="Q88" s="453"/>
    </row>
    <row r="89" spans="1:17" s="108" customFormat="1" ht="14.5" thickBot="1">
      <c r="A89" s="528"/>
      <c r="B89" s="492"/>
      <c r="C89" s="531">
        <v>100</v>
      </c>
      <c r="D89" s="493">
        <f t="shared" ref="D89:M89" si="26">C89-$K26</f>
        <v>99</v>
      </c>
      <c r="E89" s="493">
        <f t="shared" si="26"/>
        <v>98</v>
      </c>
      <c r="F89" s="493">
        <f t="shared" si="26"/>
        <v>97</v>
      </c>
      <c r="G89" s="493">
        <f t="shared" si="26"/>
        <v>96</v>
      </c>
      <c r="H89" s="493">
        <f t="shared" si="26"/>
        <v>95</v>
      </c>
      <c r="I89" s="493">
        <f t="shared" si="26"/>
        <v>94</v>
      </c>
      <c r="J89" s="493">
        <f t="shared" si="26"/>
        <v>93</v>
      </c>
      <c r="K89" s="493">
        <f t="shared" si="26"/>
        <v>92</v>
      </c>
      <c r="L89" s="493">
        <f t="shared" si="26"/>
        <v>91</v>
      </c>
      <c r="M89" s="493">
        <f t="shared" si="26"/>
        <v>90</v>
      </c>
      <c r="N89" s="934"/>
      <c r="O89" s="934"/>
      <c r="P89" s="1921"/>
      <c r="Q89" s="453"/>
    </row>
    <row r="90" spans="1:17" s="422" customFormat="1" ht="14.5" thickTop="1">
      <c r="A90" s="502"/>
      <c r="B90" s="487" t="str">
        <f>B27</f>
        <v>楼层</v>
      </c>
      <c r="C90" s="3448" t="s">
        <v>3409</v>
      </c>
      <c r="D90" s="3448" t="s">
        <v>3410</v>
      </c>
      <c r="E90" s="3448" t="s">
        <v>3411</v>
      </c>
      <c r="F90" s="503"/>
      <c r="G90" s="503"/>
      <c r="H90" s="504"/>
      <c r="I90" s="504"/>
      <c r="J90" s="504"/>
      <c r="K90" s="504"/>
      <c r="L90" s="505"/>
      <c r="M90" s="506"/>
      <c r="N90" s="935"/>
      <c r="O90" s="935"/>
      <c r="P90" s="1922"/>
      <c r="Q90" s="508"/>
    </row>
    <row r="91" spans="1:17" s="422" customFormat="1" ht="14.5" thickBot="1">
      <c r="A91" s="502"/>
      <c r="B91" s="492"/>
      <c r="C91" s="509">
        <v>100</v>
      </c>
      <c r="D91" s="509">
        <v>98</v>
      </c>
      <c r="E91" s="509">
        <v>96</v>
      </c>
      <c r="F91" s="509"/>
      <c r="G91" s="509"/>
      <c r="H91" s="511"/>
      <c r="I91" s="511"/>
      <c r="J91" s="511"/>
      <c r="K91" s="511"/>
      <c r="L91" s="511"/>
      <c r="M91" s="512"/>
      <c r="N91" s="935"/>
      <c r="O91" s="935"/>
      <c r="P91" s="1922"/>
      <c r="Q91" s="508"/>
    </row>
    <row r="92" spans="1:17" ht="14.5" thickTop="1">
      <c r="A92" s="483"/>
      <c r="B92" s="487">
        <f>B28</f>
        <v>111</v>
      </c>
      <c r="C92" s="503"/>
      <c r="D92" s="503"/>
      <c r="E92" s="503"/>
      <c r="F92" s="503"/>
      <c r="G92" s="532"/>
      <c r="H92" s="532"/>
      <c r="I92" s="532"/>
      <c r="J92" s="532"/>
      <c r="K92" s="533"/>
      <c r="L92" s="534"/>
      <c r="M92" s="535"/>
      <c r="N92" s="933"/>
      <c r="O92" s="933"/>
      <c r="P92" s="1921"/>
      <c r="Q92" s="453"/>
    </row>
    <row r="93" spans="1:17" ht="14.5" thickBot="1">
      <c r="A93" s="483"/>
      <c r="B93" s="492"/>
      <c r="C93" s="509"/>
      <c r="D93" s="485"/>
      <c r="E93" s="485"/>
      <c r="F93" s="485"/>
      <c r="G93" s="485"/>
      <c r="H93" s="485"/>
      <c r="I93" s="485"/>
      <c r="J93" s="485"/>
      <c r="K93" s="485"/>
      <c r="L93" s="485"/>
      <c r="M93" s="486"/>
      <c r="N93" s="934"/>
      <c r="O93" s="934"/>
      <c r="P93" s="1921"/>
      <c r="Q93" s="453"/>
    </row>
    <row r="94" spans="1:17" ht="14.5" thickTop="1">
      <c r="A94" s="483"/>
      <c r="B94" s="487">
        <f>B29</f>
        <v>111</v>
      </c>
      <c r="C94" s="503"/>
      <c r="D94" s="503"/>
      <c r="E94" s="503"/>
      <c r="F94" s="503"/>
      <c r="G94" s="532"/>
      <c r="H94" s="532"/>
      <c r="I94" s="532"/>
      <c r="J94" s="532"/>
      <c r="K94" s="533"/>
      <c r="L94" s="534"/>
      <c r="M94" s="535"/>
      <c r="N94" s="933"/>
      <c r="O94" s="933"/>
      <c r="P94" s="1921"/>
      <c r="Q94" s="453"/>
    </row>
    <row r="95" spans="1:17" ht="14.5" thickBot="1">
      <c r="A95" s="483"/>
      <c r="B95" s="492"/>
      <c r="C95" s="509"/>
      <c r="D95" s="509"/>
      <c r="E95" s="509"/>
      <c r="F95" s="509"/>
      <c r="G95" s="485"/>
      <c r="H95" s="485"/>
      <c r="I95" s="485"/>
      <c r="J95" s="485"/>
      <c r="K95" s="485"/>
      <c r="L95" s="485"/>
      <c r="M95" s="486"/>
      <c r="N95" s="934"/>
      <c r="O95" s="934"/>
      <c r="P95" s="1921"/>
      <c r="Q95" s="453"/>
    </row>
    <row r="96" spans="1:17" ht="14.5" thickTop="1">
      <c r="A96" s="483"/>
      <c r="B96" s="487">
        <f>B30</f>
        <v>111</v>
      </c>
      <c r="C96" s="503"/>
      <c r="D96" s="503"/>
      <c r="E96" s="503"/>
      <c r="F96" s="503"/>
      <c r="G96" s="532"/>
      <c r="H96" s="532"/>
      <c r="I96" s="532"/>
      <c r="J96" s="532"/>
      <c r="K96" s="533"/>
      <c r="L96" s="534"/>
      <c r="M96" s="535"/>
      <c r="N96" s="933"/>
      <c r="O96" s="933"/>
      <c r="P96" s="1921"/>
      <c r="Q96" s="453"/>
    </row>
    <row r="97" spans="1:17" ht="14.5" thickBot="1">
      <c r="A97" s="483"/>
      <c r="B97" s="492"/>
      <c r="C97" s="519"/>
      <c r="D97" s="519"/>
      <c r="E97" s="519"/>
      <c r="F97" s="519"/>
      <c r="G97" s="485"/>
      <c r="H97" s="485"/>
      <c r="I97" s="485"/>
      <c r="J97" s="485"/>
      <c r="K97" s="485"/>
      <c r="L97" s="485"/>
      <c r="M97" s="486"/>
      <c r="N97" s="934"/>
      <c r="O97" s="934"/>
      <c r="P97" s="1921"/>
      <c r="Q97" s="453"/>
    </row>
    <row r="98" spans="1:17" ht="14.5" thickTop="1">
      <c r="A98" s="483"/>
      <c r="B98" s="495">
        <f>B31</f>
        <v>111</v>
      </c>
      <c r="C98" s="536"/>
      <c r="D98" s="536"/>
      <c r="E98" s="536"/>
      <c r="F98" s="536"/>
      <c r="G98" s="536"/>
      <c r="H98" s="536"/>
      <c r="I98" s="536"/>
      <c r="J98" s="536"/>
      <c r="K98" s="537"/>
      <c r="L98" s="538"/>
      <c r="M98" s="539"/>
      <c r="N98" s="933"/>
      <c r="O98" s="933"/>
      <c r="P98" s="1921"/>
      <c r="Q98" s="453"/>
    </row>
    <row r="99" spans="1:17" ht="14.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3449" t="s">
        <v>3427</v>
      </c>
      <c r="D100" s="3449" t="s">
        <v>3407</v>
      </c>
      <c r="E100" s="479"/>
      <c r="F100" s="479"/>
      <c r="G100" s="479"/>
      <c r="H100" s="479"/>
      <c r="I100" s="479"/>
      <c r="J100" s="479"/>
      <c r="K100" s="480"/>
      <c r="L100" s="481"/>
      <c r="M100" s="482"/>
      <c r="N100" s="933"/>
      <c r="O100" s="933"/>
      <c r="P100" s="1921"/>
      <c r="Q100" s="453"/>
    </row>
    <row r="101" spans="1:17" ht="14.5" thickBot="1">
      <c r="A101" s="483"/>
      <c r="B101" s="492"/>
      <c r="C101" s="493">
        <v>100</v>
      </c>
      <c r="D101" s="493">
        <f t="shared" ref="D101:M101" si="27">C101-$K32</f>
        <v>95</v>
      </c>
      <c r="E101" s="493">
        <f t="shared" si="27"/>
        <v>90</v>
      </c>
      <c r="F101" s="493">
        <f t="shared" si="27"/>
        <v>85</v>
      </c>
      <c r="G101" s="493">
        <f t="shared" si="27"/>
        <v>80</v>
      </c>
      <c r="H101" s="493">
        <f t="shared" si="27"/>
        <v>75</v>
      </c>
      <c r="I101" s="493">
        <f t="shared" si="27"/>
        <v>70</v>
      </c>
      <c r="J101" s="493">
        <f t="shared" si="27"/>
        <v>65</v>
      </c>
      <c r="K101" s="493">
        <f t="shared" si="27"/>
        <v>60</v>
      </c>
      <c r="L101" s="493">
        <f t="shared" si="27"/>
        <v>55</v>
      </c>
      <c r="M101" s="493">
        <f t="shared" si="27"/>
        <v>50</v>
      </c>
      <c r="N101" s="934"/>
      <c r="O101" s="934"/>
      <c r="P101" s="1921"/>
      <c r="Q101" s="453"/>
    </row>
    <row r="102" spans="1:17" ht="14.5" thickTop="1">
      <c r="A102" s="483"/>
      <c r="B102" s="487" t="s">
        <v>1737</v>
      </c>
      <c r="C102" s="527" t="str">
        <f>C103&amp;"(含)"&amp;"-"&amp;D103</f>
        <v>0(含)-30</v>
      </c>
      <c r="D102" s="527" t="str">
        <f t="shared" ref="D102:L102" si="28">D103&amp;"(含)"&amp;"-"&amp;E103</f>
        <v>30(含)-60</v>
      </c>
      <c r="E102" s="527" t="str">
        <f t="shared" si="28"/>
        <v>60(含)-90</v>
      </c>
      <c r="F102" s="527" t="str">
        <f t="shared" si="28"/>
        <v>90(含)-120</v>
      </c>
      <c r="G102" s="527" t="str">
        <f t="shared" si="28"/>
        <v>120(含)-150</v>
      </c>
      <c r="H102" s="527" t="str">
        <f t="shared" si="28"/>
        <v>150(含)-</v>
      </c>
      <c r="I102" s="527" t="str">
        <f t="shared" si="28"/>
        <v>(含)-</v>
      </c>
      <c r="J102" s="527" t="str">
        <f t="shared" si="28"/>
        <v>(含)-</v>
      </c>
      <c r="K102" s="527" t="str">
        <f>K103&amp;"(含)"&amp;"-"&amp;L103</f>
        <v>(含)-</v>
      </c>
      <c r="L102" s="527" t="str">
        <f t="shared" si="28"/>
        <v>(含)-</v>
      </c>
      <c r="M102" s="527" t="str">
        <f>M103&amp;"(含)"&amp;"-"&amp;P103</f>
        <v>(含)-</v>
      </c>
      <c r="N102" s="932"/>
      <c r="O102" s="932"/>
      <c r="P102" s="1921"/>
      <c r="Q102" s="453"/>
    </row>
    <row r="103" spans="1:17" s="422" customFormat="1">
      <c r="A103" s="542"/>
      <c r="B103" s="543"/>
      <c r="C103" s="544">
        <v>0</v>
      </c>
      <c r="D103" s="544">
        <v>30</v>
      </c>
      <c r="E103" s="544">
        <v>60</v>
      </c>
      <c r="F103" s="544">
        <v>90</v>
      </c>
      <c r="G103" s="544">
        <v>120</v>
      </c>
      <c r="H103" s="544">
        <v>150</v>
      </c>
      <c r="I103" s="544"/>
      <c r="J103" s="545"/>
      <c r="K103" s="545"/>
      <c r="L103" s="546"/>
      <c r="M103" s="547"/>
      <c r="N103" s="935"/>
      <c r="O103" s="935"/>
      <c r="P103" s="1922"/>
      <c r="Q103" s="508"/>
    </row>
    <row r="104" spans="1:17" s="422" customFormat="1" ht="14.5" thickBot="1">
      <c r="A104" s="502"/>
      <c r="B104" s="492"/>
      <c r="C104" s="509">
        <v>100</v>
      </c>
      <c r="D104" s="485">
        <v>99</v>
      </c>
      <c r="E104" s="485">
        <v>98</v>
      </c>
      <c r="F104" s="485">
        <v>97</v>
      </c>
      <c r="G104" s="485">
        <v>96</v>
      </c>
      <c r="H104" s="485">
        <v>95</v>
      </c>
      <c r="I104" s="485"/>
      <c r="J104" s="485"/>
      <c r="K104" s="485"/>
      <c r="L104" s="485"/>
      <c r="M104" s="485"/>
      <c r="N104" s="934"/>
      <c r="O104" s="934"/>
      <c r="P104" s="1922"/>
      <c r="Q104" s="508"/>
    </row>
    <row r="105" spans="1:17" ht="14.5" thickTop="1">
      <c r="A105" s="548"/>
      <c r="B105" s="487" t="s">
        <v>1738</v>
      </c>
      <c r="C105" s="3448" t="s">
        <v>3400</v>
      </c>
      <c r="D105" s="3448" t="s">
        <v>3401</v>
      </c>
      <c r="E105" s="532"/>
      <c r="F105" s="532"/>
      <c r="G105" s="532"/>
      <c r="H105" s="532"/>
      <c r="I105" s="532"/>
      <c r="J105" s="532"/>
      <c r="K105" s="533"/>
      <c r="L105" s="534"/>
      <c r="M105" s="535"/>
      <c r="N105" s="933"/>
      <c r="O105" s="933"/>
      <c r="P105" s="1921"/>
      <c r="Q105" s="453"/>
    </row>
    <row r="106" spans="1:17" ht="14.5" thickBot="1">
      <c r="A106" s="483"/>
      <c r="B106" s="492"/>
      <c r="C106" s="493">
        <v>100</v>
      </c>
      <c r="D106" s="493">
        <f t="shared" ref="D106:M106" si="29">C106-$K34</f>
        <v>100</v>
      </c>
      <c r="E106" s="493">
        <f t="shared" si="29"/>
        <v>100</v>
      </c>
      <c r="F106" s="493">
        <f t="shared" si="29"/>
        <v>100</v>
      </c>
      <c r="G106" s="493">
        <f t="shared" si="29"/>
        <v>100</v>
      </c>
      <c r="H106" s="493">
        <f t="shared" si="29"/>
        <v>100</v>
      </c>
      <c r="I106" s="493">
        <f t="shared" si="29"/>
        <v>100</v>
      </c>
      <c r="J106" s="493">
        <f t="shared" si="29"/>
        <v>100</v>
      </c>
      <c r="K106" s="493">
        <f t="shared" si="29"/>
        <v>100</v>
      </c>
      <c r="L106" s="493">
        <f t="shared" si="29"/>
        <v>100</v>
      </c>
      <c r="M106" s="493">
        <f t="shared" si="29"/>
        <v>100</v>
      </c>
      <c r="N106" s="934"/>
      <c r="O106" s="934"/>
      <c r="P106" s="1921"/>
      <c r="Q106" s="453"/>
    </row>
    <row r="107" spans="1:17" ht="14.5" thickTop="1">
      <c r="A107" s="548"/>
      <c r="B107" s="487" t="s">
        <v>1739</v>
      </c>
      <c r="C107" s="532"/>
      <c r="D107" s="532"/>
      <c r="E107" s="532"/>
      <c r="F107" s="532"/>
      <c r="G107" s="532"/>
      <c r="H107" s="532"/>
      <c r="I107" s="532"/>
      <c r="J107" s="532"/>
      <c r="K107" s="533"/>
      <c r="L107" s="534"/>
      <c r="M107" s="535"/>
      <c r="N107" s="933"/>
      <c r="O107" s="933"/>
      <c r="P107" s="1921"/>
      <c r="Q107" s="453"/>
    </row>
    <row r="108" spans="1:17" ht="14.5" thickBot="1">
      <c r="A108" s="483"/>
      <c r="B108" s="492"/>
      <c r="C108" s="493">
        <v>100</v>
      </c>
      <c r="D108" s="493">
        <f t="shared" ref="D108:M108" si="30">C108-$K35</f>
        <v>100</v>
      </c>
      <c r="E108" s="493">
        <f t="shared" si="30"/>
        <v>100</v>
      </c>
      <c r="F108" s="493">
        <f t="shared" si="30"/>
        <v>100</v>
      </c>
      <c r="G108" s="493">
        <f t="shared" si="30"/>
        <v>100</v>
      </c>
      <c r="H108" s="493">
        <f t="shared" si="30"/>
        <v>100</v>
      </c>
      <c r="I108" s="493">
        <f t="shared" si="30"/>
        <v>100</v>
      </c>
      <c r="J108" s="493">
        <f t="shared" si="30"/>
        <v>100</v>
      </c>
      <c r="K108" s="493">
        <f t="shared" si="30"/>
        <v>100</v>
      </c>
      <c r="L108" s="493">
        <f t="shared" si="30"/>
        <v>100</v>
      </c>
      <c r="M108" s="493">
        <f t="shared" si="30"/>
        <v>100</v>
      </c>
      <c r="N108" s="934"/>
      <c r="O108" s="934"/>
      <c r="P108" s="1921"/>
      <c r="Q108" s="453"/>
    </row>
    <row r="109" spans="1:17" ht="14.5" thickTop="1">
      <c r="A109" s="548"/>
      <c r="B109" s="487" t="s">
        <v>1740</v>
      </c>
      <c r="C109" s="3448" t="s">
        <v>3440</v>
      </c>
      <c r="D109" s="3448" t="s">
        <v>3431</v>
      </c>
      <c r="E109" s="3448" t="s">
        <v>3439</v>
      </c>
      <c r="F109" s="532"/>
      <c r="G109" s="532"/>
      <c r="H109" s="532"/>
      <c r="I109" s="532"/>
      <c r="J109" s="532"/>
      <c r="K109" s="533"/>
      <c r="L109" s="534"/>
      <c r="M109" s="535"/>
      <c r="N109" s="933"/>
      <c r="O109" s="933"/>
      <c r="P109" s="1921"/>
      <c r="Q109" s="453"/>
    </row>
    <row r="110" spans="1:17" ht="14.5" thickBot="1">
      <c r="A110" s="483"/>
      <c r="B110" s="492"/>
      <c r="C110" s="493">
        <v>100</v>
      </c>
      <c r="D110" s="493">
        <f t="shared" ref="D110:M110" si="31">C110-$K36</f>
        <v>99</v>
      </c>
      <c r="E110" s="493">
        <f t="shared" si="31"/>
        <v>98</v>
      </c>
      <c r="F110" s="493">
        <f t="shared" si="31"/>
        <v>97</v>
      </c>
      <c r="G110" s="493">
        <f t="shared" si="31"/>
        <v>96</v>
      </c>
      <c r="H110" s="493">
        <f t="shared" si="31"/>
        <v>95</v>
      </c>
      <c r="I110" s="493">
        <f t="shared" si="31"/>
        <v>94</v>
      </c>
      <c r="J110" s="493">
        <f t="shared" si="31"/>
        <v>93</v>
      </c>
      <c r="K110" s="493">
        <f t="shared" si="31"/>
        <v>92</v>
      </c>
      <c r="L110" s="493">
        <f t="shared" si="31"/>
        <v>91</v>
      </c>
      <c r="M110" s="493">
        <f t="shared" si="31"/>
        <v>90</v>
      </c>
      <c r="N110" s="934"/>
      <c r="O110" s="934"/>
      <c r="P110" s="1921"/>
      <c r="Q110" s="453"/>
    </row>
    <row r="111" spans="1:17" s="422" customFormat="1" ht="14.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4.5" thickTop="1">
      <c r="A114" s="548"/>
      <c r="B114" s="487" t="s">
        <v>1741</v>
      </c>
      <c r="C114" s="3448" t="s">
        <v>3403</v>
      </c>
      <c r="D114" s="503"/>
      <c r="E114" s="532"/>
      <c r="F114" s="532"/>
      <c r="G114" s="532"/>
      <c r="H114" s="532"/>
      <c r="I114" s="532"/>
      <c r="J114" s="532"/>
      <c r="K114" s="533"/>
      <c r="L114" s="534"/>
      <c r="M114" s="535"/>
      <c r="N114" s="933"/>
      <c r="O114" s="933"/>
      <c r="P114" s="1921"/>
      <c r="Q114" s="453"/>
    </row>
    <row r="115" spans="1:17" ht="14.5" thickBot="1">
      <c r="A115" s="483"/>
      <c r="B115" s="492"/>
      <c r="C115" s="493">
        <v>100</v>
      </c>
      <c r="D115" s="493">
        <f t="shared" ref="D115:M115" si="32">C115-$K38</f>
        <v>100</v>
      </c>
      <c r="E115" s="493">
        <f t="shared" si="32"/>
        <v>100</v>
      </c>
      <c r="F115" s="493">
        <f t="shared" si="32"/>
        <v>100</v>
      </c>
      <c r="G115" s="493">
        <f t="shared" si="32"/>
        <v>100</v>
      </c>
      <c r="H115" s="493">
        <f t="shared" si="32"/>
        <v>100</v>
      </c>
      <c r="I115" s="493">
        <f t="shared" si="32"/>
        <v>100</v>
      </c>
      <c r="J115" s="493">
        <f t="shared" si="32"/>
        <v>100</v>
      </c>
      <c r="K115" s="493">
        <f t="shared" si="32"/>
        <v>100</v>
      </c>
      <c r="L115" s="493">
        <f t="shared" si="32"/>
        <v>100</v>
      </c>
      <c r="M115" s="493">
        <f t="shared" si="32"/>
        <v>100</v>
      </c>
      <c r="N115" s="934"/>
      <c r="O115" s="934"/>
      <c r="P115" s="1921"/>
      <c r="Q115" s="453"/>
    </row>
    <row r="116" spans="1:17" ht="14.5" thickTop="1">
      <c r="A116" s="548"/>
      <c r="B116" s="487" t="s">
        <v>1742</v>
      </c>
      <c r="C116" s="3448" t="s">
        <v>3404</v>
      </c>
      <c r="D116" s="503"/>
      <c r="E116" s="503"/>
      <c r="F116" s="503"/>
      <c r="G116" s="503"/>
      <c r="H116" s="532"/>
      <c r="I116" s="532"/>
      <c r="J116" s="532"/>
      <c r="K116" s="533"/>
      <c r="L116" s="534"/>
      <c r="M116" s="535"/>
      <c r="N116" s="933"/>
      <c r="O116" s="933"/>
      <c r="P116" s="1921"/>
      <c r="Q116" s="453"/>
    </row>
    <row r="117" spans="1:17" ht="14.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4.5" thickTop="1">
      <c r="A118" s="548"/>
      <c r="B118" s="487" t="s">
        <v>1743</v>
      </c>
      <c r="C118" s="532"/>
      <c r="D118" s="532"/>
      <c r="E118" s="532"/>
      <c r="F118" s="532"/>
      <c r="G118" s="532"/>
      <c r="H118" s="532"/>
      <c r="I118" s="532"/>
      <c r="J118" s="532"/>
      <c r="K118" s="533"/>
      <c r="L118" s="534"/>
      <c r="M118" s="535"/>
      <c r="N118" s="933"/>
      <c r="O118" s="933"/>
      <c r="P118" s="1921"/>
      <c r="Q118" s="453"/>
    </row>
    <row r="119" spans="1:17" ht="14.5" thickBot="1">
      <c r="A119" s="483"/>
      <c r="B119" s="492"/>
      <c r="C119" s="493">
        <v>100</v>
      </c>
      <c r="D119" s="493">
        <f t="shared" ref="D119:M119" si="33">C119-$K40</f>
        <v>100</v>
      </c>
      <c r="E119" s="493">
        <f t="shared" si="33"/>
        <v>100</v>
      </c>
      <c r="F119" s="493">
        <f t="shared" si="33"/>
        <v>100</v>
      </c>
      <c r="G119" s="493">
        <f t="shared" si="33"/>
        <v>100</v>
      </c>
      <c r="H119" s="493">
        <f t="shared" si="33"/>
        <v>100</v>
      </c>
      <c r="I119" s="493">
        <f t="shared" si="33"/>
        <v>100</v>
      </c>
      <c r="J119" s="493">
        <f t="shared" si="33"/>
        <v>100</v>
      </c>
      <c r="K119" s="493">
        <f t="shared" si="33"/>
        <v>100</v>
      </c>
      <c r="L119" s="493">
        <f t="shared" si="33"/>
        <v>100</v>
      </c>
      <c r="M119" s="493">
        <f t="shared" si="33"/>
        <v>100</v>
      </c>
      <c r="N119" s="934"/>
      <c r="O119" s="934"/>
      <c r="P119" s="1921"/>
      <c r="Q119" s="453"/>
    </row>
    <row r="120" spans="1:17" s="422" customFormat="1" ht="29"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5" thickBot="1">
      <c r="A121" s="502"/>
      <c r="B121" s="484"/>
      <c r="C121" s="509"/>
      <c r="D121" s="485"/>
      <c r="E121" s="485"/>
      <c r="F121" s="485"/>
      <c r="G121" s="485"/>
      <c r="H121" s="485"/>
      <c r="I121" s="485"/>
      <c r="J121" s="485"/>
      <c r="K121" s="485"/>
      <c r="L121" s="485"/>
      <c r="M121" s="485"/>
      <c r="N121" s="935"/>
      <c r="O121" s="935"/>
      <c r="P121" s="1922"/>
      <c r="Q121" s="508"/>
    </row>
    <row r="122" spans="1:17" ht="14.5" thickTop="1">
      <c r="A122" s="548"/>
      <c r="B122" s="487" t="s">
        <v>1744</v>
      </c>
      <c r="C122" s="3448" t="s">
        <v>3402</v>
      </c>
      <c r="D122" s="3448" t="s">
        <v>3405</v>
      </c>
      <c r="E122" s="503"/>
      <c r="F122" s="532"/>
      <c r="G122" s="532"/>
      <c r="H122" s="532"/>
      <c r="I122" s="532"/>
      <c r="J122" s="532"/>
      <c r="K122" s="533"/>
      <c r="L122" s="534"/>
      <c r="M122" s="535"/>
      <c r="N122" s="933"/>
      <c r="O122" s="933"/>
      <c r="P122" s="1921"/>
      <c r="Q122" s="453"/>
    </row>
    <row r="123" spans="1:17" ht="14.5" thickBot="1">
      <c r="A123" s="483"/>
      <c r="B123" s="492"/>
      <c r="C123" s="493">
        <v>100</v>
      </c>
      <c r="D123" s="493">
        <f t="shared" ref="D123:M123" si="34">C123-$K42</f>
        <v>100</v>
      </c>
      <c r="E123" s="493">
        <f t="shared" si="34"/>
        <v>100</v>
      </c>
      <c r="F123" s="493">
        <f t="shared" si="34"/>
        <v>100</v>
      </c>
      <c r="G123" s="493">
        <f t="shared" si="34"/>
        <v>100</v>
      </c>
      <c r="H123" s="493">
        <f t="shared" si="34"/>
        <v>100</v>
      </c>
      <c r="I123" s="493">
        <f t="shared" si="34"/>
        <v>100</v>
      </c>
      <c r="J123" s="493">
        <f t="shared" si="34"/>
        <v>100</v>
      </c>
      <c r="K123" s="493">
        <f t="shared" si="34"/>
        <v>100</v>
      </c>
      <c r="L123" s="493">
        <f t="shared" si="34"/>
        <v>100</v>
      </c>
      <c r="M123" s="493">
        <f t="shared" si="34"/>
        <v>100</v>
      </c>
      <c r="N123" s="934"/>
      <c r="O123" s="934"/>
      <c r="P123" s="1921"/>
      <c r="Q123" s="453"/>
    </row>
    <row r="124" spans="1:17" ht="28.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4.5" thickBot="1">
      <c r="A127" s="502"/>
      <c r="B127" s="492"/>
      <c r="C127" s="509"/>
      <c r="D127" s="485"/>
      <c r="E127" s="485"/>
      <c r="F127" s="485"/>
      <c r="G127" s="509"/>
      <c r="H127" s="511"/>
      <c r="I127" s="511"/>
      <c r="J127" s="511"/>
      <c r="K127" s="511"/>
      <c r="L127" s="511"/>
      <c r="M127" s="512"/>
      <c r="N127" s="935"/>
      <c r="O127" s="935"/>
      <c r="P127" s="1922"/>
      <c r="Q127" s="508"/>
    </row>
    <row r="128" spans="1:17" ht="14.5" thickTop="1">
      <c r="A128" s="548"/>
      <c r="B128" s="487">
        <f>B45</f>
        <v>111</v>
      </c>
      <c r="C128" s="503"/>
      <c r="D128" s="503"/>
      <c r="E128" s="503"/>
      <c r="F128" s="503"/>
      <c r="G128" s="532"/>
      <c r="H128" s="532"/>
      <c r="I128" s="532"/>
      <c r="J128" s="532"/>
      <c r="K128" s="533"/>
      <c r="L128" s="534"/>
      <c r="M128" s="535"/>
      <c r="N128" s="933"/>
      <c r="O128" s="933"/>
      <c r="P128" s="1921"/>
      <c r="Q128" s="453"/>
    </row>
    <row r="129" spans="1:17" ht="14.5" thickBot="1">
      <c r="A129" s="483"/>
      <c r="B129" s="492"/>
      <c r="C129" s="509"/>
      <c r="D129" s="509"/>
      <c r="E129" s="509"/>
      <c r="F129" s="509"/>
      <c r="G129" s="485"/>
      <c r="H129" s="485"/>
      <c r="I129" s="485"/>
      <c r="J129" s="485"/>
      <c r="K129" s="485"/>
      <c r="L129" s="485"/>
      <c r="M129" s="486"/>
      <c r="N129" s="934"/>
      <c r="O129" s="934"/>
      <c r="P129" s="1921"/>
      <c r="Q129" s="453"/>
    </row>
    <row r="130" spans="1:17" ht="14.5" thickTop="1">
      <c r="A130" s="548"/>
      <c r="B130" s="495">
        <f>B46</f>
        <v>111</v>
      </c>
      <c r="C130" s="503"/>
      <c r="D130" s="503"/>
      <c r="E130" s="503"/>
      <c r="F130" s="503"/>
      <c r="G130" s="536"/>
      <c r="H130" s="536"/>
      <c r="I130" s="536"/>
      <c r="J130" s="536"/>
      <c r="K130" s="472"/>
      <c r="L130" s="473"/>
      <c r="M130" s="539"/>
      <c r="N130" s="933"/>
      <c r="O130" s="933"/>
      <c r="P130" s="1921"/>
      <c r="Q130" s="453"/>
    </row>
    <row r="131" spans="1:17" ht="14.5" thickBot="1">
      <c r="A131" s="1927"/>
      <c r="B131" s="518"/>
      <c r="C131" s="519"/>
      <c r="D131" s="519"/>
      <c r="E131" s="519"/>
      <c r="F131" s="519"/>
      <c r="G131" s="540"/>
      <c r="H131" s="540"/>
      <c r="I131" s="540"/>
      <c r="J131" s="540"/>
      <c r="K131" s="540"/>
      <c r="L131" s="540"/>
      <c r="M131" s="541"/>
      <c r="N131" s="934"/>
      <c r="O131" s="934"/>
      <c r="P131" s="1921"/>
      <c r="Q131" s="453"/>
    </row>
    <row r="136" spans="1:17" ht="14.5" thickBot="1">
      <c r="B136" s="1928" t="s">
        <v>1746</v>
      </c>
    </row>
    <row r="137" spans="1:17" ht="15.5">
      <c r="B137" s="1929" t="s">
        <v>1747</v>
      </c>
      <c r="C137" s="1930"/>
      <c r="D137" s="1930"/>
      <c r="E137" s="1930"/>
      <c r="F137" s="1930"/>
      <c r="G137" s="1931"/>
      <c r="H137" s="1932"/>
      <c r="I137" s="1933" t="s">
        <v>1748</v>
      </c>
      <c r="J137" s="1930"/>
      <c r="K137" s="1934"/>
    </row>
    <row r="138" spans="1:17" ht="15.5">
      <c r="B138" s="1935"/>
      <c r="C138" s="137" t="s">
        <v>1749</v>
      </c>
      <c r="D138" s="137" t="s">
        <v>1750</v>
      </c>
      <c r="E138" s="1936" t="s">
        <v>1751</v>
      </c>
      <c r="F138" s="1937" t="s">
        <v>1752</v>
      </c>
      <c r="G138" s="137" t="s">
        <v>1750</v>
      </c>
      <c r="H138" s="138" t="s">
        <v>1751</v>
      </c>
      <c r="I138" s="1938"/>
      <c r="J138" s="137" t="s">
        <v>1753</v>
      </c>
      <c r="K138" s="138" t="s">
        <v>1754</v>
      </c>
    </row>
    <row r="139" spans="1:17" ht="15.5">
      <c r="B139" s="867">
        <v>6</v>
      </c>
      <c r="C139" s="868">
        <v>96</v>
      </c>
      <c r="D139" s="1939" t="s">
        <v>1755</v>
      </c>
      <c r="E139" s="869">
        <v>100</v>
      </c>
      <c r="F139" s="870">
        <v>102.5</v>
      </c>
      <c r="G139" s="1939" t="s">
        <v>1755</v>
      </c>
      <c r="H139" s="871">
        <v>105</v>
      </c>
      <c r="I139" s="1940" t="s">
        <v>1756</v>
      </c>
      <c r="J139" s="868">
        <v>20</v>
      </c>
      <c r="K139" s="872">
        <f>C145/(J139-2)</f>
        <v>4.0555555555555553E-3</v>
      </c>
    </row>
    <row r="140" spans="1:17" ht="15.5">
      <c r="B140" s="873">
        <v>5</v>
      </c>
      <c r="C140" s="874">
        <v>100</v>
      </c>
      <c r="D140" s="874"/>
      <c r="E140" s="875"/>
      <c r="F140" s="876">
        <v>102</v>
      </c>
      <c r="G140" s="874"/>
      <c r="H140" s="877"/>
      <c r="I140" s="1941" t="s">
        <v>1757</v>
      </c>
      <c r="J140" s="271">
        <f>ROUNDUP((J139-1)/2,0)</f>
        <v>10</v>
      </c>
      <c r="K140" s="878">
        <v>100</v>
      </c>
    </row>
    <row r="141" spans="1:17" ht="15.5">
      <c r="B141" s="873">
        <v>4</v>
      </c>
      <c r="C141" s="874">
        <v>102</v>
      </c>
      <c r="D141" s="874"/>
      <c r="E141" s="875"/>
      <c r="F141" s="876">
        <v>101.5</v>
      </c>
      <c r="G141" s="874"/>
      <c r="H141" s="877"/>
      <c r="I141" s="1941" t="s">
        <v>1758</v>
      </c>
      <c r="J141" s="271">
        <v>1</v>
      </c>
      <c r="K141" s="879">
        <f>ROUND(100+(J141-J140)*K139*100,1)</f>
        <v>96.4</v>
      </c>
    </row>
    <row r="142" spans="1:17" ht="15.5">
      <c r="B142" s="873">
        <v>3</v>
      </c>
      <c r="C142" s="874">
        <v>103</v>
      </c>
      <c r="D142" s="874"/>
      <c r="E142" s="875"/>
      <c r="F142" s="876">
        <v>101</v>
      </c>
      <c r="G142" s="874"/>
      <c r="H142" s="877"/>
      <c r="I142" s="1941" t="s">
        <v>1759</v>
      </c>
      <c r="J142" s="271">
        <f>J139</f>
        <v>20</v>
      </c>
      <c r="K142" s="880">
        <v>95</v>
      </c>
    </row>
    <row r="143" spans="1:17" ht="15.5">
      <c r="B143" s="873">
        <v>2</v>
      </c>
      <c r="C143" s="874">
        <v>100</v>
      </c>
      <c r="D143" s="874"/>
      <c r="E143" s="875"/>
      <c r="F143" s="876">
        <v>100.5</v>
      </c>
      <c r="G143" s="874"/>
      <c r="H143" s="877"/>
      <c r="I143" s="1941" t="s">
        <v>1760</v>
      </c>
      <c r="J143" s="874">
        <v>15</v>
      </c>
      <c r="K143" s="879">
        <f>ROUND(100+(J143-J140)*K139*100,1)</f>
        <v>102</v>
      </c>
    </row>
    <row r="144" spans="1:17" ht="15.5">
      <c r="B144" s="873">
        <v>1</v>
      </c>
      <c r="C144" s="874">
        <v>98</v>
      </c>
      <c r="D144" s="1942" t="s">
        <v>1761</v>
      </c>
      <c r="E144" s="875">
        <v>102</v>
      </c>
      <c r="F144" s="881">
        <v>100</v>
      </c>
      <c r="G144" s="1942" t="s">
        <v>1761</v>
      </c>
      <c r="H144" s="877">
        <v>105</v>
      </c>
      <c r="I144" s="1941" t="s">
        <v>1760</v>
      </c>
      <c r="J144" s="874">
        <v>18</v>
      </c>
      <c r="K144" s="879">
        <f>ROUND(100+(J144-J140)*K139*100,1)</f>
        <v>103.2</v>
      </c>
    </row>
    <row r="145" spans="2:11" ht="16"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57" customWidth="1"/>
    <col min="2" max="2" width="15.7265625" style="357" customWidth="1"/>
    <col min="3" max="3" width="15.0898437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1915"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142.19</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c r="A4" s="355" t="s">
        <v>1769</v>
      </c>
      <c r="B4" s="356"/>
      <c r="C4" s="3704" t="s">
        <v>1770</v>
      </c>
      <c r="D4" s="3705"/>
      <c r="E4" s="3706" t="s">
        <v>1771</v>
      </c>
      <c r="F4" s="3707"/>
      <c r="G4" s="3704" t="s">
        <v>1772</v>
      </c>
      <c r="H4" s="3705"/>
      <c r="I4" s="3704" t="s">
        <v>1773</v>
      </c>
      <c r="J4" s="3705"/>
      <c r="K4" s="559" t="s">
        <v>1774</v>
      </c>
      <c r="L4" s="2713"/>
      <c r="M4" s="2714"/>
      <c r="N4" s="2714"/>
      <c r="O4" s="2714"/>
      <c r="P4" s="3708" t="s">
        <v>1775</v>
      </c>
      <c r="Q4" s="3709"/>
      <c r="R4" s="3691" t="s">
        <v>1771</v>
      </c>
      <c r="S4" s="3692"/>
      <c r="T4" s="3691" t="s">
        <v>1772</v>
      </c>
      <c r="U4" s="3692"/>
      <c r="V4" s="3716" t="s">
        <v>1773</v>
      </c>
      <c r="W4" s="3716"/>
      <c r="X4" s="1355"/>
      <c r="Y4" s="3691" t="s">
        <v>1775</v>
      </c>
      <c r="Z4" s="3692"/>
      <c r="AA4" s="3686" t="s">
        <v>1771</v>
      </c>
      <c r="AB4" s="3716" t="s">
        <v>1772</v>
      </c>
      <c r="AC4" s="3686" t="s">
        <v>1773</v>
      </c>
    </row>
    <row r="5" spans="1:29">
      <c r="A5" s="358"/>
      <c r="B5" s="359"/>
      <c r="C5" s="3697" t="s">
        <v>1673</v>
      </c>
      <c r="D5" s="3698"/>
      <c r="E5" s="3733" t="s">
        <v>1674</v>
      </c>
      <c r="F5" s="3696"/>
      <c r="G5" s="3697" t="s">
        <v>1675</v>
      </c>
      <c r="H5" s="3698"/>
      <c r="I5" s="3697" t="s">
        <v>1676</v>
      </c>
      <c r="J5" s="3698"/>
      <c r="K5" s="559"/>
      <c r="L5" s="2713"/>
      <c r="M5" s="2714"/>
      <c r="N5" s="2714"/>
      <c r="O5" s="2714"/>
      <c r="P5" s="3710"/>
      <c r="Q5" s="3711"/>
      <c r="R5" s="3693"/>
      <c r="S5" s="3694"/>
      <c r="T5" s="3693"/>
      <c r="U5" s="3694"/>
      <c r="V5" s="3716"/>
      <c r="W5" s="3716"/>
      <c r="X5" s="1355"/>
      <c r="Y5" s="3693"/>
      <c r="Z5" s="3694"/>
      <c r="AA5" s="3687"/>
      <c r="AB5" s="3716"/>
      <c r="AC5" s="3687"/>
    </row>
    <row r="6" spans="1:29" ht="15" thickBot="1">
      <c r="A6" s="360"/>
      <c r="B6" s="361"/>
      <c r="C6" s="3699" t="s">
        <v>1677</v>
      </c>
      <c r="D6" s="3700"/>
      <c r="E6" s="3701" t="s">
        <v>1677</v>
      </c>
      <c r="F6" s="3702"/>
      <c r="G6" s="3699" t="s">
        <v>1677</v>
      </c>
      <c r="H6" s="3700"/>
      <c r="I6" s="3699" t="s">
        <v>1677</v>
      </c>
      <c r="J6" s="3700"/>
      <c r="K6" s="559" t="s">
        <v>1678</v>
      </c>
      <c r="L6" s="2713"/>
      <c r="M6" s="2714"/>
      <c r="N6" s="2714"/>
      <c r="O6" s="2714"/>
      <c r="P6" s="3712"/>
      <c r="Q6" s="3713"/>
      <c r="R6" s="3693"/>
      <c r="S6" s="3694"/>
      <c r="T6" s="3714"/>
      <c r="U6" s="3715"/>
      <c r="V6" s="3716"/>
      <c r="W6" s="3716"/>
      <c r="X6" s="1355"/>
      <c r="Y6" s="3714"/>
      <c r="Z6" s="3715"/>
      <c r="AA6" s="3688"/>
      <c r="AB6" s="3716"/>
      <c r="AC6" s="3688"/>
    </row>
    <row r="7" spans="1:29" s="108" customFormat="1" ht="14.5" thickBot="1">
      <c r="A7" s="362" t="s">
        <v>1679</v>
      </c>
      <c r="B7" s="363"/>
      <c r="C7" s="364">
        <f>'数据-取费表'!B2</f>
        <v>45072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9" t="s">
        <v>1680</v>
      </c>
      <c r="Q7" s="3718"/>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4.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9" t="s">
        <v>1683</v>
      </c>
      <c r="Q8" s="3690"/>
      <c r="R8" s="701" t="s">
        <v>14</v>
      </c>
      <c r="S8" s="702">
        <f t="shared" si="0"/>
        <v>100</v>
      </c>
      <c r="T8" s="701" t="s">
        <v>14</v>
      </c>
      <c r="U8" s="702">
        <f t="shared" si="1"/>
        <v>100</v>
      </c>
      <c r="V8" s="701" t="s">
        <v>14</v>
      </c>
      <c r="W8" s="702">
        <f t="shared" si="2"/>
        <v>100</v>
      </c>
      <c r="X8" s="703"/>
      <c r="Y8" s="3689" t="s">
        <v>1683</v>
      </c>
      <c r="Z8" s="369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3"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3"/>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3"/>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3"/>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3"/>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3"/>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70">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1" t="s">
        <v>1691</v>
      </c>
      <c r="Q15" s="1352" t="str">
        <f t="shared" si="6"/>
        <v>商业繁华度</v>
      </c>
      <c r="R15" s="705" t="s">
        <v>14</v>
      </c>
      <c r="S15" s="706">
        <f t="shared" si="0"/>
        <v>100</v>
      </c>
      <c r="T15" s="705" t="s">
        <v>14</v>
      </c>
      <c r="U15" s="706">
        <f t="shared" si="1"/>
        <v>100</v>
      </c>
      <c r="V15" s="705" t="s">
        <v>14</v>
      </c>
      <c r="W15" s="706">
        <f t="shared" si="2"/>
        <v>100</v>
      </c>
      <c r="X15" s="1355"/>
      <c r="Y15" s="3724" t="s">
        <v>1691</v>
      </c>
      <c r="Z15" s="1356" t="str">
        <f t="shared" si="7"/>
        <v>商业繁华度</v>
      </c>
      <c r="AA15" s="1353">
        <f t="shared" si="3"/>
        <v>1</v>
      </c>
      <c r="AB15" s="1353">
        <f t="shared" si="4"/>
        <v>1</v>
      </c>
      <c r="AC15" s="1353">
        <f t="shared" si="5"/>
        <v>1</v>
      </c>
    </row>
    <row r="16" spans="1:29" ht="15.5">
      <c r="A16" s="379"/>
      <c r="B16" s="397"/>
      <c r="C16" s="398"/>
      <c r="D16" s="399"/>
      <c r="E16" s="398"/>
      <c r="F16" s="400"/>
      <c r="G16" s="398"/>
      <c r="H16" s="401"/>
      <c r="I16" s="398"/>
      <c r="J16" s="399"/>
      <c r="K16" s="564"/>
      <c r="L16" s="2720"/>
      <c r="M16" s="2714"/>
      <c r="N16" s="2714"/>
      <c r="O16" s="2714"/>
      <c r="P16" s="3732"/>
      <c r="Q16" s="1352"/>
      <c r="R16" s="705"/>
      <c r="S16" s="706"/>
      <c r="T16" s="705"/>
      <c r="U16" s="706"/>
      <c r="V16" s="705"/>
      <c r="W16" s="706"/>
      <c r="X16" s="1355"/>
      <c r="Y16" s="3725"/>
      <c r="Z16" s="1356"/>
      <c r="AA16" s="1353">
        <v>1</v>
      </c>
      <c r="AB16" s="1353">
        <v>1</v>
      </c>
      <c r="AC16" s="1353">
        <v>1</v>
      </c>
    </row>
    <row r="17" spans="1:29" ht="84">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5">
      <c r="A18" s="379"/>
      <c r="B18" s="407"/>
      <c r="C18" s="1901"/>
      <c r="D18" s="401"/>
      <c r="E18" s="1903"/>
      <c r="F18" s="404"/>
      <c r="G18" s="1902"/>
      <c r="H18" s="399"/>
      <c r="I18" s="1903"/>
      <c r="J18" s="399"/>
      <c r="K18" s="564"/>
      <c r="L18" s="2720"/>
      <c r="M18" s="2714"/>
      <c r="N18" s="2714"/>
      <c r="O18" s="2714"/>
      <c r="P18" s="3732"/>
      <c r="Q18" s="1352"/>
      <c r="R18" s="705"/>
      <c r="S18" s="706"/>
      <c r="T18" s="705"/>
      <c r="U18" s="706"/>
      <c r="V18" s="705"/>
      <c r="W18" s="706"/>
      <c r="X18" s="1355"/>
      <c r="Y18" s="3725"/>
      <c r="Z18" s="1356"/>
      <c r="AA18" s="1353">
        <v>1</v>
      </c>
      <c r="AB18" s="1353">
        <v>1</v>
      </c>
      <c r="AC18" s="1353">
        <v>1</v>
      </c>
    </row>
    <row r="19" spans="1:29" ht="42">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5">
      <c r="A20" s="379"/>
      <c r="B20" s="407"/>
      <c r="C20" s="398"/>
      <c r="D20" s="399"/>
      <c r="E20" s="1898"/>
      <c r="F20" s="400"/>
      <c r="G20" s="1897"/>
      <c r="H20" s="399"/>
      <c r="I20" s="1898"/>
      <c r="J20" s="399"/>
      <c r="K20" s="564"/>
      <c r="L20" s="2720"/>
      <c r="M20" s="2714"/>
      <c r="N20" s="2714"/>
      <c r="O20" s="2714"/>
      <c r="P20" s="3732"/>
      <c r="Q20" s="1352"/>
      <c r="R20" s="705"/>
      <c r="S20" s="706"/>
      <c r="T20" s="705"/>
      <c r="U20" s="706"/>
      <c r="V20" s="705"/>
      <c r="W20" s="706"/>
      <c r="X20" s="1355"/>
      <c r="Y20" s="3725"/>
      <c r="Z20" s="1356"/>
      <c r="AA20" s="1353">
        <v>1</v>
      </c>
      <c r="AB20" s="1353">
        <v>1</v>
      </c>
      <c r="AC20" s="1353">
        <v>1</v>
      </c>
    </row>
    <row r="21" spans="1:29" ht="28">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5">
      <c r="A22" s="379"/>
      <c r="B22" s="1131"/>
      <c r="C22" s="1901"/>
      <c r="D22" s="399"/>
      <c r="E22" s="398"/>
      <c r="F22" s="400"/>
      <c r="G22" s="398"/>
      <c r="H22" s="399"/>
      <c r="I22" s="398"/>
      <c r="J22" s="399"/>
      <c r="K22" s="1130"/>
      <c r="L22" s="2720"/>
      <c r="M22" s="2714"/>
      <c r="N22" s="2714"/>
      <c r="O22" s="2714"/>
      <c r="P22" s="3732"/>
      <c r="Q22" s="1352"/>
      <c r="R22" s="705"/>
      <c r="S22" s="706"/>
      <c r="T22" s="705"/>
      <c r="U22" s="706"/>
      <c r="V22" s="705"/>
      <c r="W22" s="706"/>
      <c r="X22" s="1355"/>
      <c r="Y22" s="3725"/>
      <c r="Z22" s="1356"/>
      <c r="AA22" s="1353">
        <v>1</v>
      </c>
      <c r="AB22" s="1353">
        <v>1</v>
      </c>
      <c r="AC22" s="1353">
        <v>1</v>
      </c>
    </row>
    <row r="23" spans="1:29" ht="56">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2"/>
      <c r="Q23" s="1352" t="str">
        <f>B23</f>
        <v>自然及人文环境</v>
      </c>
      <c r="R23" s="705" t="s">
        <v>14</v>
      </c>
      <c r="S23" s="706">
        <f>F23</f>
        <v>100</v>
      </c>
      <c r="T23" s="705" t="s">
        <v>14</v>
      </c>
      <c r="U23" s="706">
        <f>H23</f>
        <v>100</v>
      </c>
      <c r="V23" s="705" t="s">
        <v>14</v>
      </c>
      <c r="W23" s="706">
        <f>J23</f>
        <v>100</v>
      </c>
      <c r="X23" s="1355"/>
      <c r="Y23" s="3725"/>
      <c r="Z23" s="1356" t="str">
        <f>Q23</f>
        <v>自然及人文环境</v>
      </c>
      <c r="AA23" s="1353">
        <f t="shared" si="3"/>
        <v>1</v>
      </c>
      <c r="AB23" s="1353">
        <f t="shared" si="4"/>
        <v>1</v>
      </c>
      <c r="AC23" s="1353">
        <f t="shared" si="5"/>
        <v>1</v>
      </c>
    </row>
    <row r="24" spans="1:29" ht="15.5">
      <c r="A24" s="379"/>
      <c r="B24" s="407"/>
      <c r="C24" s="398"/>
      <c r="D24" s="399"/>
      <c r="E24" s="1898"/>
      <c r="F24" s="400"/>
      <c r="G24" s="1897"/>
      <c r="H24" s="399"/>
      <c r="I24" s="1898"/>
      <c r="J24" s="399"/>
      <c r="K24" s="564"/>
      <c r="L24" s="2720"/>
      <c r="M24" s="2714"/>
      <c r="N24" s="2714"/>
      <c r="O24" s="2714"/>
      <c r="P24" s="3732"/>
      <c r="Q24" s="1352"/>
      <c r="R24" s="705"/>
      <c r="S24" s="706"/>
      <c r="T24" s="705"/>
      <c r="U24" s="706"/>
      <c r="V24" s="705"/>
      <c r="W24" s="706"/>
      <c r="X24" s="1355"/>
      <c r="Y24" s="3725"/>
      <c r="Z24" s="1356"/>
      <c r="AA24" s="1353">
        <v>1</v>
      </c>
      <c r="AB24" s="1353">
        <v>1</v>
      </c>
      <c r="AC24" s="1353">
        <v>1</v>
      </c>
    </row>
    <row r="25" spans="1:29" ht="15.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2"/>
      <c r="Q25" s="1352" t="str">
        <f t="shared" ref="Q25:Q46" si="11">B25</f>
        <v>临街状况</v>
      </c>
      <c r="R25" s="705" t="s">
        <v>14</v>
      </c>
      <c r="S25" s="706">
        <f>F25</f>
        <v>100</v>
      </c>
      <c r="T25" s="705" t="s">
        <v>14</v>
      </c>
      <c r="U25" s="706">
        <f>H25</f>
        <v>100</v>
      </c>
      <c r="V25" s="705" t="s">
        <v>14</v>
      </c>
      <c r="W25" s="706">
        <f>J25</f>
        <v>100</v>
      </c>
      <c r="X25" s="1355"/>
      <c r="Y25" s="3725"/>
      <c r="Z25" s="1356" t="str">
        <f>Q25</f>
        <v>临街状况</v>
      </c>
      <c r="AA25" s="1353">
        <f t="shared" si="3"/>
        <v>1</v>
      </c>
      <c r="AB25" s="1353">
        <f t="shared" si="4"/>
        <v>1</v>
      </c>
      <c r="AC25" s="1353">
        <f t="shared" si="5"/>
        <v>1</v>
      </c>
    </row>
    <row r="26" spans="1:29" ht="15.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2"/>
      <c r="Q26" s="1352" t="str">
        <f t="shared" si="11"/>
        <v>平面位置/可视性</v>
      </c>
      <c r="R26" s="705" t="s">
        <v>14</v>
      </c>
      <c r="S26" s="706">
        <f>F26</f>
        <v>100</v>
      </c>
      <c r="T26" s="705" t="s">
        <v>14</v>
      </c>
      <c r="U26" s="706">
        <f>H26</f>
        <v>100</v>
      </c>
      <c r="V26" s="705" t="s">
        <v>14</v>
      </c>
      <c r="W26" s="706">
        <f>J26</f>
        <v>100</v>
      </c>
      <c r="X26" s="1355"/>
      <c r="Y26" s="3725"/>
      <c r="Z26" s="1356" t="str">
        <f>Q26</f>
        <v>平面位置/可视性</v>
      </c>
      <c r="AA26" s="1353">
        <f t="shared" si="3"/>
        <v>1</v>
      </c>
      <c r="AB26" s="1353">
        <f t="shared" si="4"/>
        <v>1</v>
      </c>
      <c r="AC26" s="1353">
        <f t="shared" si="5"/>
        <v>1</v>
      </c>
    </row>
    <row r="27" spans="1:29" s="108" customFormat="1" ht="15.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32"/>
      <c r="Q27" s="1343" t="str">
        <f t="shared" si="11"/>
        <v>人流量</v>
      </c>
      <c r="R27" s="701" t="s">
        <v>14</v>
      </c>
      <c r="S27" s="702">
        <f>F27</f>
        <v>100</v>
      </c>
      <c r="T27" s="701" t="s">
        <v>14</v>
      </c>
      <c r="U27" s="702">
        <f>H27</f>
        <v>100</v>
      </c>
      <c r="V27" s="701" t="s">
        <v>14</v>
      </c>
      <c r="W27" s="702">
        <f>J27</f>
        <v>100</v>
      </c>
      <c r="X27" s="703"/>
      <c r="Y27" s="3725"/>
      <c r="Z27" s="52" t="str">
        <f>Q27</f>
        <v>人流量</v>
      </c>
      <c r="AA27" s="1353">
        <f>D27/F27</f>
        <v>1</v>
      </c>
      <c r="AB27" s="1353">
        <f>D27/H27</f>
        <v>1</v>
      </c>
      <c r="AC27" s="1353">
        <f>D27/J27</f>
        <v>1</v>
      </c>
    </row>
    <row r="28" spans="1:29" ht="15.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5"/>
      <c r="Z28" s="1356" t="str">
        <f t="shared" ref="Z28:Z46" si="15">Q28</f>
        <v>楼层</v>
      </c>
      <c r="AA28" s="1353">
        <f t="shared" si="3"/>
        <v>1</v>
      </c>
      <c r="AB28" s="1353">
        <f t="shared" si="4"/>
        <v>1</v>
      </c>
      <c r="AC28" s="1353">
        <f t="shared" si="5"/>
        <v>1</v>
      </c>
    </row>
    <row r="29" spans="1:29" ht="15.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2"/>
      <c r="Q29" s="1352">
        <f t="shared" si="11"/>
        <v>111</v>
      </c>
      <c r="R29" s="705" t="s">
        <v>14</v>
      </c>
      <c r="S29" s="706">
        <f t="shared" si="12"/>
        <v>100</v>
      </c>
      <c r="T29" s="705" t="s">
        <v>14</v>
      </c>
      <c r="U29" s="706">
        <f t="shared" si="13"/>
        <v>100</v>
      </c>
      <c r="V29" s="705" t="s">
        <v>14</v>
      </c>
      <c r="W29" s="706">
        <f t="shared" si="14"/>
        <v>100</v>
      </c>
      <c r="X29" s="1355"/>
      <c r="Y29" s="3725"/>
      <c r="Z29" s="1356">
        <f t="shared" si="15"/>
        <v>111</v>
      </c>
      <c r="AA29" s="1353">
        <f t="shared" si="3"/>
        <v>1</v>
      </c>
      <c r="AB29" s="1353">
        <f t="shared" si="4"/>
        <v>1</v>
      </c>
      <c r="AC29" s="1353">
        <f t="shared" si="5"/>
        <v>1</v>
      </c>
    </row>
    <row r="30" spans="1:29" ht="15.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353">
        <f t="shared" si="5"/>
        <v>1</v>
      </c>
    </row>
    <row r="31" spans="1:29" ht="1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353">
        <f t="shared" si="5"/>
        <v>1</v>
      </c>
    </row>
    <row r="32" spans="1:29" ht="15.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6" t="s">
        <v>1696</v>
      </c>
      <c r="Q32" s="1352" t="str">
        <f t="shared" si="11"/>
        <v>商业类型</v>
      </c>
      <c r="R32" s="705" t="s">
        <v>14</v>
      </c>
      <c r="S32" s="706">
        <f t="shared" si="12"/>
        <v>100</v>
      </c>
      <c r="T32" s="705" t="s">
        <v>14</v>
      </c>
      <c r="U32" s="706">
        <f t="shared" si="13"/>
        <v>100</v>
      </c>
      <c r="V32" s="705" t="s">
        <v>14</v>
      </c>
      <c r="W32" s="706">
        <f t="shared" si="14"/>
        <v>100</v>
      </c>
      <c r="X32" s="1355"/>
      <c r="Y32" s="3729" t="s">
        <v>1696</v>
      </c>
      <c r="Z32" s="1356" t="str">
        <f t="shared" si="15"/>
        <v>商业类型</v>
      </c>
      <c r="AA32" s="1353">
        <f t="shared" si="3"/>
        <v>1</v>
      </c>
      <c r="AB32" s="1353">
        <f t="shared" si="4"/>
        <v>1</v>
      </c>
      <c r="AC32" s="1353">
        <f t="shared" si="5"/>
        <v>1</v>
      </c>
    </row>
    <row r="33" spans="1:29" s="422" customFormat="1" ht="15.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7"/>
      <c r="Q33" s="707" t="str">
        <f t="shared" si="11"/>
        <v>项目建筑规模</v>
      </c>
      <c r="R33" s="708" t="s">
        <v>14</v>
      </c>
      <c r="S33" s="709" t="e">
        <f t="shared" si="12"/>
        <v>#N/A</v>
      </c>
      <c r="T33" s="708" t="s">
        <v>14</v>
      </c>
      <c r="U33" s="709" t="e">
        <f t="shared" si="13"/>
        <v>#N/A</v>
      </c>
      <c r="V33" s="708" t="s">
        <v>14</v>
      </c>
      <c r="W33" s="709" t="e">
        <f t="shared" si="14"/>
        <v>#N/A</v>
      </c>
      <c r="X33" s="710"/>
      <c r="Y33" s="3729"/>
      <c r="Z33" s="711" t="str">
        <f t="shared" si="15"/>
        <v>项目建筑规模</v>
      </c>
      <c r="AA33" s="1353" t="e">
        <f t="shared" si="3"/>
        <v>#N/A</v>
      </c>
      <c r="AB33" s="1353" t="e">
        <f t="shared" si="4"/>
        <v>#N/A</v>
      </c>
      <c r="AC33" s="1353" t="e">
        <f t="shared" si="5"/>
        <v>#N/A</v>
      </c>
    </row>
    <row r="34" spans="1:29" ht="15.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27"/>
      <c r="Q34" s="1352" t="str">
        <f t="shared" si="11"/>
        <v>建筑结构</v>
      </c>
      <c r="R34" s="705" t="s">
        <v>14</v>
      </c>
      <c r="S34" s="706">
        <f t="shared" si="12"/>
        <v>100</v>
      </c>
      <c r="T34" s="705" t="s">
        <v>14</v>
      </c>
      <c r="U34" s="706">
        <f t="shared" si="13"/>
        <v>100</v>
      </c>
      <c r="V34" s="705" t="s">
        <v>14</v>
      </c>
      <c r="W34" s="706">
        <f t="shared" si="14"/>
        <v>100</v>
      </c>
      <c r="X34" s="1355"/>
      <c r="Y34" s="3729"/>
      <c r="Z34" s="1356" t="str">
        <f t="shared" si="15"/>
        <v>建筑结构</v>
      </c>
      <c r="AA34" s="1353">
        <f t="shared" si="3"/>
        <v>1</v>
      </c>
      <c r="AB34" s="1353">
        <f t="shared" si="4"/>
        <v>1</v>
      </c>
      <c r="AC34" s="1353">
        <f t="shared" si="5"/>
        <v>1</v>
      </c>
    </row>
    <row r="35" spans="1:29" ht="15.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7"/>
      <c r="Q35" s="1352" t="str">
        <f t="shared" si="11"/>
        <v>公共部分装修</v>
      </c>
      <c r="R35" s="705" t="s">
        <v>14</v>
      </c>
      <c r="S35" s="706">
        <f t="shared" si="12"/>
        <v>100</v>
      </c>
      <c r="T35" s="705" t="s">
        <v>14</v>
      </c>
      <c r="U35" s="706">
        <f t="shared" si="13"/>
        <v>100</v>
      </c>
      <c r="V35" s="705" t="s">
        <v>14</v>
      </c>
      <c r="W35" s="706">
        <f t="shared" si="14"/>
        <v>100</v>
      </c>
      <c r="X35" s="1355"/>
      <c r="Y35" s="3729"/>
      <c r="Z35" s="1356" t="str">
        <f t="shared" si="15"/>
        <v>公共部分装修</v>
      </c>
      <c r="AA35" s="1353">
        <f t="shared" si="3"/>
        <v>1</v>
      </c>
      <c r="AB35" s="1353">
        <f t="shared" si="4"/>
        <v>1</v>
      </c>
      <c r="AC35" s="1353">
        <f t="shared" si="5"/>
        <v>1</v>
      </c>
    </row>
    <row r="36" spans="1:29" ht="15.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7"/>
      <c r="Q36" s="1352" t="str">
        <f t="shared" si="11"/>
        <v>成新度</v>
      </c>
      <c r="R36" s="705" t="s">
        <v>14</v>
      </c>
      <c r="S36" s="706" t="e">
        <f t="shared" si="12"/>
        <v>#N/A</v>
      </c>
      <c r="T36" s="705" t="s">
        <v>14</v>
      </c>
      <c r="U36" s="706" t="e">
        <f t="shared" si="13"/>
        <v>#N/A</v>
      </c>
      <c r="V36" s="705" t="s">
        <v>14</v>
      </c>
      <c r="W36" s="706" t="e">
        <f t="shared" si="14"/>
        <v>#N/A</v>
      </c>
      <c r="X36" s="1355"/>
      <c r="Y36" s="3729"/>
      <c r="Z36" s="1356" t="str">
        <f t="shared" si="15"/>
        <v>成新度</v>
      </c>
      <c r="AA36" s="1353" t="e">
        <f t="shared" si="3"/>
        <v>#N/A</v>
      </c>
      <c r="AB36" s="1353" t="e">
        <f t="shared" si="4"/>
        <v>#N/A</v>
      </c>
      <c r="AC36" s="1353" t="e">
        <f t="shared" si="5"/>
        <v>#N/A</v>
      </c>
    </row>
    <row r="37" spans="1:29" s="108" customFormat="1" ht="15.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7"/>
      <c r="Q37" s="1343" t="str">
        <f t="shared" si="11"/>
        <v>市政基础设施</v>
      </c>
      <c r="R37" s="701" t="s">
        <v>14</v>
      </c>
      <c r="S37" s="702">
        <f t="shared" si="12"/>
        <v>100</v>
      </c>
      <c r="T37" s="701" t="s">
        <v>14</v>
      </c>
      <c r="U37" s="702">
        <f t="shared" si="13"/>
        <v>100</v>
      </c>
      <c r="V37" s="701" t="s">
        <v>14</v>
      </c>
      <c r="W37" s="702">
        <f t="shared" si="14"/>
        <v>100</v>
      </c>
      <c r="X37" s="703"/>
      <c r="Y37" s="3729"/>
      <c r="Z37" s="52" t="str">
        <f t="shared" si="15"/>
        <v>市政基础设施</v>
      </c>
      <c r="AA37" s="704">
        <f t="shared" si="3"/>
        <v>1</v>
      </c>
      <c r="AB37" s="704">
        <f t="shared" si="4"/>
        <v>1</v>
      </c>
      <c r="AC37" s="704">
        <f t="shared" si="5"/>
        <v>1</v>
      </c>
    </row>
    <row r="38" spans="1:29" ht="15.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7" t="s">
        <v>1696</v>
      </c>
      <c r="Q38" s="1352" t="str">
        <f t="shared" si="11"/>
        <v>业态</v>
      </c>
      <c r="R38" s="705" t="s">
        <v>14</v>
      </c>
      <c r="S38" s="706">
        <f t="shared" si="12"/>
        <v>100</v>
      </c>
      <c r="T38" s="705" t="s">
        <v>14</v>
      </c>
      <c r="U38" s="706">
        <f t="shared" si="13"/>
        <v>100</v>
      </c>
      <c r="V38" s="705" t="s">
        <v>14</v>
      </c>
      <c r="W38" s="706">
        <f t="shared" si="14"/>
        <v>100</v>
      </c>
      <c r="X38" s="1355"/>
      <c r="Y38" s="3729" t="s">
        <v>1696</v>
      </c>
      <c r="Z38" s="1356" t="str">
        <f t="shared" si="15"/>
        <v>业态</v>
      </c>
      <c r="AA38" s="1353">
        <f t="shared" si="3"/>
        <v>1</v>
      </c>
      <c r="AB38" s="1353">
        <f t="shared" si="4"/>
        <v>1</v>
      </c>
      <c r="AC38" s="1353">
        <f t="shared" si="5"/>
        <v>1</v>
      </c>
    </row>
    <row r="39" spans="1:29" ht="15.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7"/>
      <c r="Q39" s="1352" t="str">
        <f t="shared" si="11"/>
        <v>层高</v>
      </c>
      <c r="R39" s="705" t="s">
        <v>14</v>
      </c>
      <c r="S39" s="706">
        <f t="shared" si="12"/>
        <v>100</v>
      </c>
      <c r="T39" s="705" t="s">
        <v>14</v>
      </c>
      <c r="U39" s="706">
        <f t="shared" si="13"/>
        <v>100</v>
      </c>
      <c r="V39" s="705" t="s">
        <v>14</v>
      </c>
      <c r="W39" s="706">
        <f t="shared" si="14"/>
        <v>100</v>
      </c>
      <c r="X39" s="1355"/>
      <c r="Y39" s="3729"/>
      <c r="Z39" s="1356" t="str">
        <f t="shared" si="15"/>
        <v>层高</v>
      </c>
      <c r="AA39" s="1353">
        <f t="shared" si="3"/>
        <v>1</v>
      </c>
      <c r="AB39" s="1353">
        <f t="shared" si="4"/>
        <v>1</v>
      </c>
      <c r="AC39" s="1353">
        <f t="shared" si="5"/>
        <v>1</v>
      </c>
    </row>
    <row r="40" spans="1:29" ht="15.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7"/>
      <c r="Q40" s="1352" t="str">
        <f t="shared" si="11"/>
        <v>单套建筑面积</v>
      </c>
      <c r="R40" s="705" t="s">
        <v>14</v>
      </c>
      <c r="S40" s="706">
        <f t="shared" si="12"/>
        <v>100</v>
      </c>
      <c r="T40" s="705" t="s">
        <v>14</v>
      </c>
      <c r="U40" s="706">
        <f t="shared" si="13"/>
        <v>100</v>
      </c>
      <c r="V40" s="705" t="s">
        <v>14</v>
      </c>
      <c r="W40" s="706">
        <f t="shared" si="14"/>
        <v>100</v>
      </c>
      <c r="X40" s="1355"/>
      <c r="Y40" s="3729"/>
      <c r="Z40" s="1356" t="str">
        <f t="shared" si="15"/>
        <v>单套建筑面积</v>
      </c>
      <c r="AA40" s="1353">
        <f t="shared" si="3"/>
        <v>1</v>
      </c>
      <c r="AB40" s="1353">
        <f t="shared" si="4"/>
        <v>1</v>
      </c>
      <c r="AC40" s="1353">
        <f t="shared" si="5"/>
        <v>1</v>
      </c>
    </row>
    <row r="41" spans="1:29" s="422" customFormat="1" ht="15.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7"/>
      <c r="Q41" s="707" t="str">
        <f t="shared" si="11"/>
        <v>进深比</v>
      </c>
      <c r="R41" s="708" t="s">
        <v>14</v>
      </c>
      <c r="S41" s="709">
        <f t="shared" si="12"/>
        <v>100</v>
      </c>
      <c r="T41" s="708" t="s">
        <v>14</v>
      </c>
      <c r="U41" s="709">
        <f t="shared" si="13"/>
        <v>100</v>
      </c>
      <c r="V41" s="708" t="s">
        <v>14</v>
      </c>
      <c r="W41" s="709">
        <f t="shared" si="14"/>
        <v>100</v>
      </c>
      <c r="X41" s="710"/>
      <c r="Y41" s="3729"/>
      <c r="Z41" s="711" t="str">
        <f t="shared" si="15"/>
        <v>进深比</v>
      </c>
      <c r="AA41" s="1353">
        <f t="shared" si="3"/>
        <v>1</v>
      </c>
      <c r="AB41" s="1353">
        <f t="shared" si="4"/>
        <v>1</v>
      </c>
      <c r="AC41" s="1353">
        <f t="shared" si="5"/>
        <v>1</v>
      </c>
    </row>
    <row r="42" spans="1:29" ht="15.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7"/>
      <c r="Q42" s="1352" t="str">
        <f t="shared" si="11"/>
        <v>内部装修</v>
      </c>
      <c r="R42" s="705" t="s">
        <v>14</v>
      </c>
      <c r="S42" s="706">
        <f t="shared" si="12"/>
        <v>100</v>
      </c>
      <c r="T42" s="705" t="s">
        <v>14</v>
      </c>
      <c r="U42" s="706">
        <f t="shared" si="13"/>
        <v>100</v>
      </c>
      <c r="V42" s="705" t="s">
        <v>14</v>
      </c>
      <c r="W42" s="706">
        <f t="shared" si="14"/>
        <v>100</v>
      </c>
      <c r="X42" s="1355"/>
      <c r="Y42" s="3729"/>
      <c r="Z42" s="1356" t="str">
        <f t="shared" si="15"/>
        <v>内部装修</v>
      </c>
      <c r="AA42" s="1353">
        <f t="shared" si="3"/>
        <v>1</v>
      </c>
      <c r="AB42" s="1353">
        <f t="shared" si="4"/>
        <v>1</v>
      </c>
      <c r="AC42" s="1353">
        <f t="shared" si="5"/>
        <v>1</v>
      </c>
    </row>
    <row r="43" spans="1:29" ht="2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7"/>
      <c r="Q43" s="1352" t="str">
        <f t="shared" si="11"/>
        <v>内部装修维护情况</v>
      </c>
      <c r="R43" s="705" t="s">
        <v>14</v>
      </c>
      <c r="S43" s="706">
        <f t="shared" si="12"/>
        <v>100</v>
      </c>
      <c r="T43" s="705" t="s">
        <v>14</v>
      </c>
      <c r="U43" s="706">
        <f t="shared" si="13"/>
        <v>100</v>
      </c>
      <c r="V43" s="705" t="s">
        <v>14</v>
      </c>
      <c r="W43" s="706">
        <f t="shared" si="14"/>
        <v>100</v>
      </c>
      <c r="X43" s="1355"/>
      <c r="Y43" s="3729"/>
      <c r="Z43" s="1356" t="str">
        <f t="shared" si="15"/>
        <v>内部装修维护情况</v>
      </c>
      <c r="AA43" s="1353">
        <f t="shared" si="3"/>
        <v>1</v>
      </c>
      <c r="AB43" s="1353">
        <f t="shared" si="4"/>
        <v>1</v>
      </c>
      <c r="AC43" s="1353">
        <f t="shared" si="5"/>
        <v>1</v>
      </c>
    </row>
    <row r="44" spans="1:29" s="108" customFormat="1" ht="15.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7"/>
      <c r="Q44" s="1343">
        <f t="shared" si="11"/>
        <v>111</v>
      </c>
      <c r="R44" s="701" t="s">
        <v>14</v>
      </c>
      <c r="S44" s="702">
        <f t="shared" si="12"/>
        <v>100</v>
      </c>
      <c r="T44" s="701" t="s">
        <v>14</v>
      </c>
      <c r="U44" s="702">
        <f t="shared" si="13"/>
        <v>100</v>
      </c>
      <c r="V44" s="701" t="s">
        <v>14</v>
      </c>
      <c r="W44" s="702">
        <f t="shared" si="14"/>
        <v>100</v>
      </c>
      <c r="X44" s="703"/>
      <c r="Y44" s="3729"/>
      <c r="Z44" s="52">
        <f t="shared" si="15"/>
        <v>111</v>
      </c>
      <c r="AA44" s="704">
        <f t="shared" si="3"/>
        <v>1</v>
      </c>
      <c r="AB44" s="704">
        <f t="shared" si="4"/>
        <v>1</v>
      </c>
      <c r="AC44" s="704">
        <f t="shared" si="5"/>
        <v>1</v>
      </c>
    </row>
    <row r="45" spans="1:29" ht="15.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7"/>
      <c r="Q45" s="1352">
        <f t="shared" si="11"/>
        <v>111</v>
      </c>
      <c r="R45" s="705" t="s">
        <v>14</v>
      </c>
      <c r="S45" s="706">
        <f t="shared" si="12"/>
        <v>100</v>
      </c>
      <c r="T45" s="705" t="s">
        <v>14</v>
      </c>
      <c r="U45" s="706">
        <f t="shared" si="13"/>
        <v>100</v>
      </c>
      <c r="V45" s="705" t="s">
        <v>14</v>
      </c>
      <c r="W45" s="706">
        <f t="shared" si="14"/>
        <v>100</v>
      </c>
      <c r="X45" s="1355"/>
      <c r="Y45" s="3729"/>
      <c r="Z45" s="1356">
        <f t="shared" si="15"/>
        <v>111</v>
      </c>
      <c r="AA45" s="1353">
        <f t="shared" si="3"/>
        <v>1</v>
      </c>
      <c r="AB45" s="1353">
        <f t="shared" si="4"/>
        <v>1</v>
      </c>
      <c r="AC45" s="1353">
        <f t="shared" si="5"/>
        <v>1</v>
      </c>
    </row>
    <row r="46" spans="1:29" ht="1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353">
        <f t="shared" si="5"/>
        <v>1</v>
      </c>
    </row>
    <row r="47" spans="1:29">
      <c r="A47" s="430" t="s">
        <v>1708</v>
      </c>
      <c r="B47" s="431"/>
      <c r="C47" s="1154" t="s">
        <v>0</v>
      </c>
      <c r="D47" s="1155"/>
      <c r="E47" s="1156"/>
      <c r="F47" s="1157"/>
      <c r="G47" s="1158"/>
      <c r="H47" s="1159"/>
      <c r="I47" s="1156"/>
      <c r="J47" s="1159"/>
      <c r="K47" s="714"/>
      <c r="L47" s="2722"/>
      <c r="M47" s="2723"/>
      <c r="N47" s="2714"/>
      <c r="O47" s="2723"/>
      <c r="P47" s="3722" t="str">
        <f>A47</f>
        <v>成交单价（元/平方米）</v>
      </c>
      <c r="Q47" s="3722"/>
      <c r="R47" s="3716">
        <f>E47</f>
        <v>0</v>
      </c>
      <c r="S47" s="3716"/>
      <c r="T47" s="3716">
        <f>G47</f>
        <v>0</v>
      </c>
      <c r="U47" s="3716"/>
      <c r="V47" s="3716">
        <f>I47</f>
        <v>0</v>
      </c>
      <c r="W47" s="3716"/>
      <c r="X47" s="690"/>
      <c r="Y47" s="712"/>
      <c r="Z47" s="690"/>
      <c r="AA47" s="690"/>
      <c r="AB47" s="690"/>
      <c r="AC47" s="690"/>
    </row>
    <row r="48" spans="1:29" ht="14.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4.5" thickBot="1">
      <c r="A49" s="441" t="s">
        <v>1794</v>
      </c>
      <c r="B49" s="442"/>
      <c r="C49" s="1163" t="e">
        <f>R49</f>
        <v>#DIV/0!</v>
      </c>
      <c r="D49" s="1163"/>
      <c r="E49" s="1163"/>
      <c r="F49" s="1163"/>
      <c r="G49" s="1163"/>
      <c r="H49" s="1163"/>
      <c r="I49" s="1163"/>
      <c r="J49" s="1163"/>
      <c r="K49" s="715"/>
      <c r="L49" s="2722"/>
      <c r="M49" s="2723"/>
      <c r="N49" s="2714"/>
      <c r="O49" s="2723"/>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4.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8.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4.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4.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4.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4.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4.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4.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4.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4.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4.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4.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4.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4.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4.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4.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4.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4.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8.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57" customWidth="1"/>
    <col min="2" max="2" width="15.7265625" style="357" customWidth="1"/>
    <col min="3" max="3" width="15.632812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906"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3" customFormat="1" ht="28.5" customHeight="1" thickBot="1">
      <c r="A1" s="1222" t="s">
        <v>1660</v>
      </c>
      <c r="B1" s="1956"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142.19</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c r="A4" s="355" t="s">
        <v>1769</v>
      </c>
      <c r="B4" s="356"/>
      <c r="C4" s="3704" t="s">
        <v>1770</v>
      </c>
      <c r="D4" s="3705"/>
      <c r="E4" s="3706" t="s">
        <v>1771</v>
      </c>
      <c r="F4" s="3707"/>
      <c r="G4" s="3704" t="s">
        <v>1772</v>
      </c>
      <c r="H4" s="3705"/>
      <c r="I4" s="3704" t="s">
        <v>1773</v>
      </c>
      <c r="J4" s="3705"/>
      <c r="K4" s="559" t="s">
        <v>1774</v>
      </c>
      <c r="L4" s="2713"/>
      <c r="M4" s="2714"/>
      <c r="N4" s="2714"/>
      <c r="O4" s="2714"/>
      <c r="P4" s="3740" t="s">
        <v>1775</v>
      </c>
      <c r="Q4" s="3741"/>
      <c r="R4" s="3735" t="s">
        <v>1771</v>
      </c>
      <c r="S4" s="3736"/>
      <c r="T4" s="3735" t="s">
        <v>1772</v>
      </c>
      <c r="U4" s="3736"/>
      <c r="V4" s="3744" t="s">
        <v>1773</v>
      </c>
      <c r="W4" s="3744"/>
      <c r="X4" s="1957"/>
      <c r="Y4" s="3735" t="s">
        <v>1775</v>
      </c>
      <c r="Z4" s="3736"/>
      <c r="AA4" s="3734" t="s">
        <v>1771</v>
      </c>
      <c r="AB4" s="3734" t="s">
        <v>1772</v>
      </c>
      <c r="AC4" s="3737" t="s">
        <v>1773</v>
      </c>
    </row>
    <row r="5" spans="1:29">
      <c r="A5" s="358"/>
      <c r="B5" s="359"/>
      <c r="C5" s="3697" t="s">
        <v>1673</v>
      </c>
      <c r="D5" s="3698"/>
      <c r="E5" s="3733" t="s">
        <v>1674</v>
      </c>
      <c r="F5" s="3696"/>
      <c r="G5" s="3697" t="s">
        <v>1675</v>
      </c>
      <c r="H5" s="3698"/>
      <c r="I5" s="3697" t="s">
        <v>1676</v>
      </c>
      <c r="J5" s="3698"/>
      <c r="K5" s="559"/>
      <c r="L5" s="2713"/>
      <c r="M5" s="2714"/>
      <c r="N5" s="2714"/>
      <c r="O5" s="2714"/>
      <c r="P5" s="3742"/>
      <c r="Q5" s="3711"/>
      <c r="R5" s="3693"/>
      <c r="S5" s="3694"/>
      <c r="T5" s="3693"/>
      <c r="U5" s="3694"/>
      <c r="V5" s="3716"/>
      <c r="W5" s="3716"/>
      <c r="X5" s="1355"/>
      <c r="Y5" s="3693"/>
      <c r="Z5" s="3694"/>
      <c r="AA5" s="3687"/>
      <c r="AB5" s="3687"/>
      <c r="AC5" s="3738"/>
    </row>
    <row r="6" spans="1:29" ht="15" thickBot="1">
      <c r="A6" s="360"/>
      <c r="B6" s="361"/>
      <c r="C6" s="3699" t="s">
        <v>1677</v>
      </c>
      <c r="D6" s="3700"/>
      <c r="E6" s="3701" t="s">
        <v>1677</v>
      </c>
      <c r="F6" s="3702"/>
      <c r="G6" s="3699" t="s">
        <v>1677</v>
      </c>
      <c r="H6" s="3700"/>
      <c r="I6" s="3699" t="s">
        <v>1677</v>
      </c>
      <c r="J6" s="3700"/>
      <c r="K6" s="559" t="s">
        <v>1678</v>
      </c>
      <c r="L6" s="2713"/>
      <c r="M6" s="2714"/>
      <c r="N6" s="2714"/>
      <c r="O6" s="2714"/>
      <c r="P6" s="3743"/>
      <c r="Q6" s="3713"/>
      <c r="R6" s="3693"/>
      <c r="S6" s="3694"/>
      <c r="T6" s="3714"/>
      <c r="U6" s="3715"/>
      <c r="V6" s="3716"/>
      <c r="W6" s="3716"/>
      <c r="X6" s="1355"/>
      <c r="Y6" s="3714"/>
      <c r="Z6" s="3715"/>
      <c r="AA6" s="3688"/>
      <c r="AB6" s="3688"/>
      <c r="AC6" s="3739"/>
    </row>
    <row r="7" spans="1:29" s="108" customFormat="1" ht="14.5" thickBot="1">
      <c r="A7" s="362" t="s">
        <v>1679</v>
      </c>
      <c r="B7" s="363"/>
      <c r="C7" s="364">
        <f>'数据-取费表'!B2</f>
        <v>45072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5" t="s">
        <v>1680</v>
      </c>
      <c r="Q7" s="3718"/>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1958" t="e">
        <f>D7/J7</f>
        <v>#DIV/0!</v>
      </c>
    </row>
    <row r="8" spans="1:29" s="108" customFormat="1" ht="14.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5" t="s">
        <v>1683</v>
      </c>
      <c r="Q8" s="3690"/>
      <c r="R8" s="701" t="s">
        <v>14</v>
      </c>
      <c r="S8" s="702">
        <f t="shared" si="0"/>
        <v>100</v>
      </c>
      <c r="T8" s="701" t="s">
        <v>14</v>
      </c>
      <c r="U8" s="702">
        <f t="shared" si="1"/>
        <v>100</v>
      </c>
      <c r="V8" s="701" t="s">
        <v>14</v>
      </c>
      <c r="W8" s="702">
        <f t="shared" si="2"/>
        <v>100</v>
      </c>
      <c r="X8" s="703"/>
      <c r="Y8" s="3689" t="s">
        <v>1683</v>
      </c>
      <c r="Z8" s="3690"/>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3"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1958">
        <f t="shared" si="5"/>
        <v>1</v>
      </c>
    </row>
    <row r="10" spans="1:29" s="378" customFormat="1" ht="2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3"/>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1958">
        <f t="shared" si="5"/>
        <v>1</v>
      </c>
    </row>
    <row r="11" spans="1:29" ht="15.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3"/>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8">
        <f t="shared" si="5"/>
        <v>1</v>
      </c>
    </row>
    <row r="12" spans="1:29" s="108" customFormat="1" ht="15.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03"/>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8">
        <f>D12/J12</f>
        <v>1</v>
      </c>
    </row>
    <row r="13" spans="1:29" ht="15.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03"/>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8">
        <f t="shared" si="5"/>
        <v>1</v>
      </c>
    </row>
    <row r="14" spans="1:29" ht="1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03"/>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8">
        <f t="shared" si="5"/>
        <v>1</v>
      </c>
    </row>
    <row r="15" spans="1:29" ht="70">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1" t="s">
        <v>1691</v>
      </c>
      <c r="Q15" s="1352" t="str">
        <f t="shared" si="6"/>
        <v>办公集聚程度</v>
      </c>
      <c r="R15" s="705" t="s">
        <v>14</v>
      </c>
      <c r="S15" s="706">
        <f t="shared" si="0"/>
        <v>100</v>
      </c>
      <c r="T15" s="705" t="s">
        <v>14</v>
      </c>
      <c r="U15" s="706">
        <f t="shared" si="1"/>
        <v>100</v>
      </c>
      <c r="V15" s="705" t="s">
        <v>14</v>
      </c>
      <c r="W15" s="706">
        <f t="shared" si="2"/>
        <v>100</v>
      </c>
      <c r="X15" s="1355"/>
      <c r="Y15" s="3724" t="s">
        <v>1691</v>
      </c>
      <c r="Z15" s="1356" t="str">
        <f t="shared" si="7"/>
        <v>办公集聚程度</v>
      </c>
      <c r="AA15" s="1353">
        <f t="shared" si="3"/>
        <v>1</v>
      </c>
      <c r="AB15" s="1353">
        <f t="shared" si="4"/>
        <v>1</v>
      </c>
      <c r="AC15" s="1961">
        <f t="shared" si="5"/>
        <v>1</v>
      </c>
    </row>
    <row r="16" spans="1:29" ht="15.5">
      <c r="A16" s="379"/>
      <c r="B16" s="578"/>
      <c r="C16" s="1904"/>
      <c r="D16" s="399"/>
      <c r="E16" s="398"/>
      <c r="F16" s="399"/>
      <c r="G16" s="1904"/>
      <c r="H16" s="401"/>
      <c r="I16" s="398"/>
      <c r="J16" s="399"/>
      <c r="K16" s="564"/>
      <c r="L16" s="2720"/>
      <c r="M16" s="2714"/>
      <c r="N16" s="2714"/>
      <c r="O16" s="2714"/>
      <c r="P16" s="3732"/>
      <c r="Q16" s="1352"/>
      <c r="R16" s="705"/>
      <c r="S16" s="706"/>
      <c r="T16" s="705"/>
      <c r="U16" s="706"/>
      <c r="V16" s="705"/>
      <c r="W16" s="706"/>
      <c r="X16" s="1355"/>
      <c r="Y16" s="3725"/>
      <c r="Z16" s="1356"/>
      <c r="AA16" s="1353">
        <v>1</v>
      </c>
      <c r="AB16" s="1353">
        <v>1</v>
      </c>
      <c r="AC16" s="1961">
        <v>1</v>
      </c>
    </row>
    <row r="17" spans="1:29" ht="84">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961">
        <f t="shared" si="5"/>
        <v>1</v>
      </c>
    </row>
    <row r="18" spans="1:29" ht="15.5">
      <c r="A18" s="379"/>
      <c r="B18" s="580"/>
      <c r="C18" s="1963"/>
      <c r="D18" s="401"/>
      <c r="E18" s="1902"/>
      <c r="F18" s="401"/>
      <c r="G18" s="1903"/>
      <c r="H18" s="399"/>
      <c r="I18" s="1903"/>
      <c r="J18" s="399"/>
      <c r="K18" s="564"/>
      <c r="L18" s="2720"/>
      <c r="M18" s="2714"/>
      <c r="N18" s="2714"/>
      <c r="O18" s="2714"/>
      <c r="P18" s="3732"/>
      <c r="Q18" s="1352"/>
      <c r="R18" s="705"/>
      <c r="S18" s="706"/>
      <c r="T18" s="705"/>
      <c r="U18" s="706"/>
      <c r="V18" s="705"/>
      <c r="W18" s="706"/>
      <c r="X18" s="1355"/>
      <c r="Y18" s="3725"/>
      <c r="Z18" s="1356"/>
      <c r="AA18" s="1353">
        <v>1</v>
      </c>
      <c r="AB18" s="1353">
        <v>1</v>
      </c>
      <c r="AC18" s="1961">
        <v>1</v>
      </c>
    </row>
    <row r="19" spans="1:29" ht="42">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961">
        <f t="shared" si="5"/>
        <v>1</v>
      </c>
    </row>
    <row r="20" spans="1:29" ht="15.5">
      <c r="A20" s="379"/>
      <c r="B20" s="580"/>
      <c r="C20" s="1904"/>
      <c r="D20" s="399"/>
      <c r="E20" s="1897"/>
      <c r="F20" s="399"/>
      <c r="G20" s="1898"/>
      <c r="H20" s="399"/>
      <c r="I20" s="1898"/>
      <c r="J20" s="399"/>
      <c r="K20" s="564"/>
      <c r="L20" s="2720"/>
      <c r="M20" s="2714"/>
      <c r="N20" s="2714"/>
      <c r="O20" s="2714"/>
      <c r="P20" s="3732"/>
      <c r="Q20" s="1352"/>
      <c r="R20" s="705"/>
      <c r="S20" s="706"/>
      <c r="T20" s="705"/>
      <c r="U20" s="706"/>
      <c r="V20" s="705"/>
      <c r="W20" s="706"/>
      <c r="X20" s="1355"/>
      <c r="Y20" s="3725"/>
      <c r="Z20" s="1356"/>
      <c r="AA20" s="1353">
        <v>1</v>
      </c>
      <c r="AB20" s="1353">
        <v>1</v>
      </c>
      <c r="AC20" s="1961">
        <v>1</v>
      </c>
    </row>
    <row r="21" spans="1:29" ht="28">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961">
        <f t="shared" ref="AC21" si="10">D21/J21</f>
        <v>1</v>
      </c>
    </row>
    <row r="22" spans="1:29" ht="15.5">
      <c r="A22" s="379"/>
      <c r="B22" s="581"/>
      <c r="C22" s="1963"/>
      <c r="D22" s="399"/>
      <c r="E22" s="398"/>
      <c r="F22" s="399"/>
      <c r="G22" s="1904"/>
      <c r="H22" s="399"/>
      <c r="I22" s="1904"/>
      <c r="J22" s="399"/>
      <c r="K22" s="1130"/>
      <c r="L22" s="2720"/>
      <c r="M22" s="2714"/>
      <c r="N22" s="2714"/>
      <c r="O22" s="2714"/>
      <c r="P22" s="3732"/>
      <c r="Q22" s="1352"/>
      <c r="R22" s="705"/>
      <c r="S22" s="706"/>
      <c r="T22" s="705"/>
      <c r="U22" s="706"/>
      <c r="V22" s="705"/>
      <c r="W22" s="706"/>
      <c r="X22" s="1355"/>
      <c r="Y22" s="3725"/>
      <c r="Z22" s="1356"/>
      <c r="AA22" s="1353">
        <v>1</v>
      </c>
      <c r="AB22" s="1353">
        <v>1</v>
      </c>
      <c r="AC22" s="1961">
        <v>1</v>
      </c>
    </row>
    <row r="23" spans="1:29" ht="56">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2"/>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961">
        <f t="shared" si="5"/>
        <v>1</v>
      </c>
    </row>
    <row r="24" spans="1:29" ht="15.5">
      <c r="A24" s="379"/>
      <c r="B24" s="581"/>
      <c r="C24" s="1904"/>
      <c r="D24" s="399"/>
      <c r="E24" s="1897"/>
      <c r="F24" s="399"/>
      <c r="G24" s="1898"/>
      <c r="H24" s="399"/>
      <c r="I24" s="1898"/>
      <c r="J24" s="399"/>
      <c r="K24" s="564"/>
      <c r="L24" s="2720"/>
      <c r="M24" s="2714"/>
      <c r="N24" s="2714"/>
      <c r="O24" s="2714"/>
      <c r="P24" s="3732"/>
      <c r="Q24" s="1352"/>
      <c r="R24" s="705"/>
      <c r="S24" s="706"/>
      <c r="T24" s="705"/>
      <c r="U24" s="706"/>
      <c r="V24" s="705"/>
      <c r="W24" s="706"/>
      <c r="X24" s="1355"/>
      <c r="Y24" s="3725"/>
      <c r="Z24" s="1356"/>
      <c r="AA24" s="1353">
        <v>1</v>
      </c>
      <c r="AB24" s="1353">
        <v>1</v>
      </c>
      <c r="AC24" s="1961">
        <v>1</v>
      </c>
    </row>
    <row r="25" spans="1:29" ht="2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32"/>
      <c r="Q25" s="1352" t="str">
        <f>B25</f>
        <v>毗邻道路的类型与等级</v>
      </c>
      <c r="R25" s="705" t="s">
        <v>14</v>
      </c>
      <c r="S25" s="706">
        <f>F25</f>
        <v>100</v>
      </c>
      <c r="T25" s="705" t="s">
        <v>14</v>
      </c>
      <c r="U25" s="706">
        <f>H25</f>
        <v>100</v>
      </c>
      <c r="V25" s="705" t="s">
        <v>14</v>
      </c>
      <c r="W25" s="706">
        <f>J25</f>
        <v>100</v>
      </c>
      <c r="X25" s="1355"/>
      <c r="Y25" s="3725"/>
      <c r="Z25" s="1356" t="str">
        <f>Q25</f>
        <v>毗邻道路的类型与等级</v>
      </c>
      <c r="AA25" s="1353">
        <f t="shared" si="3"/>
        <v>1</v>
      </c>
      <c r="AB25" s="1353">
        <f t="shared" si="4"/>
        <v>1</v>
      </c>
      <c r="AC25" s="1961">
        <f t="shared" si="5"/>
        <v>1</v>
      </c>
    </row>
    <row r="26" spans="1:29" ht="15.5">
      <c r="A26" s="358"/>
      <c r="B26" s="580"/>
      <c r="C26" s="582"/>
      <c r="D26" s="386"/>
      <c r="E26" s="565"/>
      <c r="F26" s="386"/>
      <c r="G26" s="582"/>
      <c r="H26" s="386"/>
      <c r="I26" s="565"/>
      <c r="J26" s="386"/>
      <c r="K26" s="564"/>
      <c r="L26" s="2720"/>
      <c r="M26" s="2714"/>
      <c r="N26" s="2714"/>
      <c r="O26" s="2714"/>
      <c r="P26" s="3732"/>
      <c r="Q26" s="1352"/>
      <c r="R26" s="705"/>
      <c r="S26" s="706"/>
      <c r="T26" s="705"/>
      <c r="U26" s="706"/>
      <c r="V26" s="705"/>
      <c r="W26" s="706"/>
      <c r="X26" s="1355"/>
      <c r="Y26" s="3725"/>
      <c r="Z26" s="1356"/>
      <c r="AA26" s="1353">
        <v>1</v>
      </c>
      <c r="AB26" s="1353">
        <v>1</v>
      </c>
      <c r="AC26" s="1961">
        <v>1</v>
      </c>
    </row>
    <row r="27" spans="1:29" ht="15.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2"/>
      <c r="Q27" s="1352" t="str">
        <f t="shared" ref="Q27:Q47" si="11">B27</f>
        <v>楼层</v>
      </c>
      <c r="R27" s="705" t="s">
        <v>14</v>
      </c>
      <c r="S27" s="706">
        <f>F27</f>
        <v>100</v>
      </c>
      <c r="T27" s="705" t="s">
        <v>14</v>
      </c>
      <c r="U27" s="706">
        <f>H27</f>
        <v>100</v>
      </c>
      <c r="V27" s="705" t="s">
        <v>14</v>
      </c>
      <c r="W27" s="706">
        <f>J27</f>
        <v>100</v>
      </c>
      <c r="X27" s="1355"/>
      <c r="Y27" s="3725"/>
      <c r="Z27" s="1356" t="str">
        <f>Q27</f>
        <v>楼层</v>
      </c>
      <c r="AA27" s="1353">
        <f t="shared" si="3"/>
        <v>1</v>
      </c>
      <c r="AB27" s="1353">
        <f t="shared" si="4"/>
        <v>1</v>
      </c>
      <c r="AC27" s="1961">
        <f t="shared" si="5"/>
        <v>1</v>
      </c>
    </row>
    <row r="28" spans="1:29" s="108" customFormat="1" ht="15.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32"/>
      <c r="Q28" s="1343" t="str">
        <f t="shared" si="11"/>
        <v>朝向</v>
      </c>
      <c r="R28" s="701" t="s">
        <v>14</v>
      </c>
      <c r="S28" s="702">
        <f>F28</f>
        <v>100</v>
      </c>
      <c r="T28" s="701" t="s">
        <v>14</v>
      </c>
      <c r="U28" s="702">
        <f>H28</f>
        <v>100</v>
      </c>
      <c r="V28" s="701" t="s">
        <v>14</v>
      </c>
      <c r="W28" s="702">
        <f>J28</f>
        <v>100</v>
      </c>
      <c r="X28" s="703"/>
      <c r="Y28" s="3725"/>
      <c r="Z28" s="52" t="str">
        <f>Q28</f>
        <v>朝向</v>
      </c>
      <c r="AA28" s="1353">
        <f>D28/F28</f>
        <v>1</v>
      </c>
      <c r="AB28" s="1353">
        <f>D28/H28</f>
        <v>1</v>
      </c>
      <c r="AC28" s="1961">
        <f>D28/J28</f>
        <v>1</v>
      </c>
    </row>
    <row r="29" spans="1:29" ht="15.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32"/>
      <c r="Q29" s="1352">
        <f t="shared" si="11"/>
        <v>111</v>
      </c>
      <c r="R29" s="705" t="s">
        <v>14</v>
      </c>
      <c r="S29" s="706">
        <f t="shared" ref="S29:S47" si="12">F29</f>
        <v>100</v>
      </c>
      <c r="T29" s="705" t="s">
        <v>14</v>
      </c>
      <c r="U29" s="706">
        <f t="shared" ref="U29:U47" si="13">H29</f>
        <v>100</v>
      </c>
      <c r="V29" s="705" t="s">
        <v>14</v>
      </c>
      <c r="W29" s="706">
        <f t="shared" ref="W29:W47" si="14">J29</f>
        <v>100</v>
      </c>
      <c r="X29" s="1355"/>
      <c r="Y29" s="3725"/>
      <c r="Z29" s="1356">
        <f t="shared" ref="Z29:Z47" si="15">Q29</f>
        <v>111</v>
      </c>
      <c r="AA29" s="1353">
        <f t="shared" si="3"/>
        <v>1</v>
      </c>
      <c r="AB29" s="1353">
        <f t="shared" si="4"/>
        <v>1</v>
      </c>
      <c r="AC29" s="1961">
        <f t="shared" si="5"/>
        <v>1</v>
      </c>
    </row>
    <row r="30" spans="1:29" ht="15.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961">
        <f t="shared" si="5"/>
        <v>1</v>
      </c>
    </row>
    <row r="31" spans="1:29" ht="15.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961">
        <f t="shared" si="5"/>
        <v>1</v>
      </c>
    </row>
    <row r="32" spans="1:29" ht="1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32"/>
      <c r="Q32" s="1352">
        <f t="shared" si="11"/>
        <v>111</v>
      </c>
      <c r="R32" s="705" t="s">
        <v>14</v>
      </c>
      <c r="S32" s="706">
        <f t="shared" si="12"/>
        <v>100</v>
      </c>
      <c r="T32" s="705" t="s">
        <v>14</v>
      </c>
      <c r="U32" s="706">
        <f t="shared" si="13"/>
        <v>100</v>
      </c>
      <c r="V32" s="705" t="s">
        <v>14</v>
      </c>
      <c r="W32" s="706">
        <f t="shared" si="14"/>
        <v>100</v>
      </c>
      <c r="X32" s="1355"/>
      <c r="Y32" s="3725"/>
      <c r="Z32" s="1356">
        <f t="shared" si="15"/>
        <v>111</v>
      </c>
      <c r="AA32" s="1353">
        <f t="shared" si="3"/>
        <v>1</v>
      </c>
      <c r="AB32" s="1353">
        <f t="shared" si="4"/>
        <v>1</v>
      </c>
      <c r="AC32" s="1961">
        <f t="shared" si="5"/>
        <v>1</v>
      </c>
    </row>
    <row r="33" spans="1:29" ht="15.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26" t="s">
        <v>1696</v>
      </c>
      <c r="Q33" s="1352" t="str">
        <f t="shared" si="11"/>
        <v>建筑类型</v>
      </c>
      <c r="R33" s="705" t="s">
        <v>14</v>
      </c>
      <c r="S33" s="706">
        <f t="shared" si="12"/>
        <v>100</v>
      </c>
      <c r="T33" s="705" t="s">
        <v>14</v>
      </c>
      <c r="U33" s="706">
        <f t="shared" si="13"/>
        <v>100</v>
      </c>
      <c r="V33" s="705" t="s">
        <v>14</v>
      </c>
      <c r="W33" s="706">
        <f t="shared" si="14"/>
        <v>100</v>
      </c>
      <c r="X33" s="1355"/>
      <c r="Y33" s="3729" t="s">
        <v>1696</v>
      </c>
      <c r="Z33" s="1356" t="str">
        <f t="shared" si="15"/>
        <v>建筑类型</v>
      </c>
      <c r="AA33" s="1353">
        <f t="shared" si="3"/>
        <v>1</v>
      </c>
      <c r="AB33" s="1353">
        <f t="shared" si="4"/>
        <v>1</v>
      </c>
      <c r="AC33" s="1961">
        <f t="shared" si="5"/>
        <v>1</v>
      </c>
    </row>
    <row r="34" spans="1:29" s="422" customFormat="1" ht="15.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7"/>
      <c r="Q34" s="707" t="str">
        <f t="shared" si="11"/>
        <v>项目建筑规模</v>
      </c>
      <c r="R34" s="708" t="s">
        <v>14</v>
      </c>
      <c r="S34" s="709" t="e">
        <f t="shared" si="12"/>
        <v>#N/A</v>
      </c>
      <c r="T34" s="708" t="s">
        <v>14</v>
      </c>
      <c r="U34" s="709" t="e">
        <f t="shared" si="13"/>
        <v>#N/A</v>
      </c>
      <c r="V34" s="708" t="s">
        <v>14</v>
      </c>
      <c r="W34" s="709" t="e">
        <f t="shared" si="14"/>
        <v>#N/A</v>
      </c>
      <c r="X34" s="710"/>
      <c r="Y34" s="3729"/>
      <c r="Z34" s="711" t="str">
        <f t="shared" si="15"/>
        <v>项目建筑规模</v>
      </c>
      <c r="AA34" s="1353" t="e">
        <f t="shared" si="3"/>
        <v>#N/A</v>
      </c>
      <c r="AB34" s="1353" t="e">
        <f t="shared" si="4"/>
        <v>#N/A</v>
      </c>
      <c r="AC34" s="1961" t="e">
        <f t="shared" si="5"/>
        <v>#N/A</v>
      </c>
    </row>
    <row r="35" spans="1:29" ht="15.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7"/>
      <c r="Q35" s="1352" t="str">
        <f t="shared" si="11"/>
        <v>建筑结构</v>
      </c>
      <c r="R35" s="705" t="s">
        <v>14</v>
      </c>
      <c r="S35" s="706">
        <f t="shared" si="12"/>
        <v>100</v>
      </c>
      <c r="T35" s="705" t="s">
        <v>14</v>
      </c>
      <c r="U35" s="706">
        <f t="shared" si="13"/>
        <v>100</v>
      </c>
      <c r="V35" s="705" t="s">
        <v>14</v>
      </c>
      <c r="W35" s="706">
        <f t="shared" si="14"/>
        <v>100</v>
      </c>
      <c r="X35" s="1355"/>
      <c r="Y35" s="3729"/>
      <c r="Z35" s="1356" t="str">
        <f t="shared" si="15"/>
        <v>建筑结构</v>
      </c>
      <c r="AA35" s="1353">
        <f t="shared" si="3"/>
        <v>1</v>
      </c>
      <c r="AB35" s="1353">
        <f t="shared" si="4"/>
        <v>1</v>
      </c>
      <c r="AC35" s="1961">
        <f t="shared" si="5"/>
        <v>1</v>
      </c>
    </row>
    <row r="36" spans="1:29" ht="15.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7"/>
      <c r="Q36" s="1352" t="str">
        <f t="shared" si="11"/>
        <v>公共部分装修</v>
      </c>
      <c r="R36" s="705" t="s">
        <v>14</v>
      </c>
      <c r="S36" s="706">
        <f t="shared" si="12"/>
        <v>100</v>
      </c>
      <c r="T36" s="705" t="s">
        <v>14</v>
      </c>
      <c r="U36" s="706">
        <f t="shared" si="13"/>
        <v>100</v>
      </c>
      <c r="V36" s="705" t="s">
        <v>14</v>
      </c>
      <c r="W36" s="706">
        <f t="shared" si="14"/>
        <v>100</v>
      </c>
      <c r="X36" s="1355"/>
      <c r="Y36" s="3729"/>
      <c r="Z36" s="1356" t="str">
        <f t="shared" si="15"/>
        <v>公共部分装修</v>
      </c>
      <c r="AA36" s="1353">
        <f t="shared" si="3"/>
        <v>1</v>
      </c>
      <c r="AB36" s="1353">
        <f t="shared" si="4"/>
        <v>1</v>
      </c>
      <c r="AC36" s="1961">
        <f t="shared" si="5"/>
        <v>1</v>
      </c>
    </row>
    <row r="37" spans="1:29" ht="15.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7"/>
      <c r="Q37" s="1352" t="str">
        <f t="shared" si="11"/>
        <v>成新度</v>
      </c>
      <c r="R37" s="705" t="s">
        <v>14</v>
      </c>
      <c r="S37" s="706" t="e">
        <f t="shared" si="12"/>
        <v>#N/A</v>
      </c>
      <c r="T37" s="705" t="s">
        <v>14</v>
      </c>
      <c r="U37" s="706" t="e">
        <f t="shared" si="13"/>
        <v>#N/A</v>
      </c>
      <c r="V37" s="705" t="s">
        <v>14</v>
      </c>
      <c r="W37" s="706" t="e">
        <f t="shared" si="14"/>
        <v>#N/A</v>
      </c>
      <c r="X37" s="1355"/>
      <c r="Y37" s="3729"/>
      <c r="Z37" s="1356" t="str">
        <f t="shared" si="15"/>
        <v>成新度</v>
      </c>
      <c r="AA37" s="1353" t="e">
        <f t="shared" si="3"/>
        <v>#N/A</v>
      </c>
      <c r="AB37" s="1353" t="e">
        <f t="shared" si="4"/>
        <v>#N/A</v>
      </c>
      <c r="AC37" s="1961" t="e">
        <f t="shared" si="5"/>
        <v>#N/A</v>
      </c>
    </row>
    <row r="38" spans="1:29" s="108" customFormat="1" ht="15.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7"/>
      <c r="Q38" s="1343" t="str">
        <f t="shared" si="11"/>
        <v>写字楼等级</v>
      </c>
      <c r="R38" s="701" t="s">
        <v>14</v>
      </c>
      <c r="S38" s="702">
        <f t="shared" si="12"/>
        <v>100</v>
      </c>
      <c r="T38" s="701" t="s">
        <v>14</v>
      </c>
      <c r="U38" s="702">
        <f t="shared" si="13"/>
        <v>100</v>
      </c>
      <c r="V38" s="701" t="s">
        <v>14</v>
      </c>
      <c r="W38" s="702">
        <f t="shared" si="14"/>
        <v>100</v>
      </c>
      <c r="X38" s="703"/>
      <c r="Y38" s="3729"/>
      <c r="Z38" s="52" t="str">
        <f t="shared" si="15"/>
        <v>写字楼等级</v>
      </c>
      <c r="AA38" s="704">
        <f t="shared" si="3"/>
        <v>1</v>
      </c>
      <c r="AB38" s="704">
        <f t="shared" si="4"/>
        <v>1</v>
      </c>
      <c r="AC38" s="1958">
        <f t="shared" si="5"/>
        <v>1</v>
      </c>
    </row>
    <row r="39" spans="1:29" ht="15.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7" t="s">
        <v>1696</v>
      </c>
      <c r="Q39" s="1352" t="str">
        <f t="shared" si="11"/>
        <v>物业管理</v>
      </c>
      <c r="R39" s="705" t="s">
        <v>14</v>
      </c>
      <c r="S39" s="706">
        <f t="shared" si="12"/>
        <v>100</v>
      </c>
      <c r="T39" s="705" t="s">
        <v>14</v>
      </c>
      <c r="U39" s="706">
        <f t="shared" si="13"/>
        <v>100</v>
      </c>
      <c r="V39" s="705" t="s">
        <v>14</v>
      </c>
      <c r="W39" s="706">
        <f t="shared" si="14"/>
        <v>100</v>
      </c>
      <c r="X39" s="1355"/>
      <c r="Y39" s="3729" t="s">
        <v>1696</v>
      </c>
      <c r="Z39" s="1356" t="str">
        <f t="shared" si="15"/>
        <v>物业管理</v>
      </c>
      <c r="AA39" s="1353">
        <f t="shared" si="3"/>
        <v>1</v>
      </c>
      <c r="AB39" s="1353">
        <f t="shared" si="4"/>
        <v>1</v>
      </c>
      <c r="AC39" s="1961">
        <f t="shared" si="5"/>
        <v>1</v>
      </c>
    </row>
    <row r="40" spans="1:29" ht="15.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7"/>
      <c r="Q40" s="1352" t="str">
        <f t="shared" si="11"/>
        <v>市政基础设施</v>
      </c>
      <c r="R40" s="705" t="s">
        <v>14</v>
      </c>
      <c r="S40" s="706">
        <f t="shared" si="12"/>
        <v>100</v>
      </c>
      <c r="T40" s="705" t="s">
        <v>14</v>
      </c>
      <c r="U40" s="706">
        <f t="shared" si="13"/>
        <v>100</v>
      </c>
      <c r="V40" s="705" t="s">
        <v>14</v>
      </c>
      <c r="W40" s="706">
        <f t="shared" si="14"/>
        <v>100</v>
      </c>
      <c r="X40" s="1355"/>
      <c r="Y40" s="3729"/>
      <c r="Z40" s="1356" t="str">
        <f t="shared" si="15"/>
        <v>市政基础设施</v>
      </c>
      <c r="AA40" s="1353">
        <f t="shared" si="3"/>
        <v>1</v>
      </c>
      <c r="AB40" s="1353">
        <f t="shared" si="4"/>
        <v>1</v>
      </c>
      <c r="AC40" s="1961">
        <f t="shared" si="5"/>
        <v>1</v>
      </c>
    </row>
    <row r="41" spans="1:29" ht="15.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7"/>
      <c r="Q41" s="1352" t="str">
        <f t="shared" si="11"/>
        <v>层高</v>
      </c>
      <c r="R41" s="705" t="s">
        <v>14</v>
      </c>
      <c r="S41" s="706">
        <f t="shared" si="12"/>
        <v>100</v>
      </c>
      <c r="T41" s="705" t="s">
        <v>14</v>
      </c>
      <c r="U41" s="706">
        <f t="shared" si="13"/>
        <v>100</v>
      </c>
      <c r="V41" s="705" t="s">
        <v>14</v>
      </c>
      <c r="W41" s="706">
        <f t="shared" si="14"/>
        <v>100</v>
      </c>
      <c r="X41" s="1355"/>
      <c r="Y41" s="3729"/>
      <c r="Z41" s="1356" t="str">
        <f t="shared" si="15"/>
        <v>层高</v>
      </c>
      <c r="AA41" s="1353">
        <f t="shared" si="3"/>
        <v>1</v>
      </c>
      <c r="AB41" s="1353">
        <f t="shared" si="4"/>
        <v>1</v>
      </c>
      <c r="AC41" s="1961">
        <f t="shared" si="5"/>
        <v>1</v>
      </c>
    </row>
    <row r="42" spans="1:29" s="422" customFormat="1" ht="15.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7"/>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1353">
        <f t="shared" si="3"/>
        <v>1</v>
      </c>
      <c r="AB42" s="1353">
        <f t="shared" si="4"/>
        <v>1</v>
      </c>
      <c r="AC42" s="1961">
        <f t="shared" si="5"/>
        <v>1</v>
      </c>
    </row>
    <row r="43" spans="1:29" ht="15.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7"/>
      <c r="Q43" s="1352" t="str">
        <f t="shared" si="11"/>
        <v>内部装修</v>
      </c>
      <c r="R43" s="705" t="s">
        <v>14</v>
      </c>
      <c r="S43" s="706">
        <f t="shared" si="12"/>
        <v>100</v>
      </c>
      <c r="T43" s="705" t="s">
        <v>14</v>
      </c>
      <c r="U43" s="706">
        <f t="shared" si="13"/>
        <v>100</v>
      </c>
      <c r="V43" s="705" t="s">
        <v>14</v>
      </c>
      <c r="W43" s="706">
        <f t="shared" si="14"/>
        <v>100</v>
      </c>
      <c r="X43" s="1355"/>
      <c r="Y43" s="3729"/>
      <c r="Z43" s="1356" t="str">
        <f t="shared" si="15"/>
        <v>内部装修</v>
      </c>
      <c r="AA43" s="1353">
        <f t="shared" si="3"/>
        <v>1</v>
      </c>
      <c r="AB43" s="1353">
        <f t="shared" si="4"/>
        <v>1</v>
      </c>
      <c r="AC43" s="1961">
        <f t="shared" si="5"/>
        <v>1</v>
      </c>
    </row>
    <row r="44" spans="1:29" ht="2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7"/>
      <c r="Q44" s="1352" t="str">
        <f t="shared" si="11"/>
        <v>内部装修维护情况</v>
      </c>
      <c r="R44" s="705" t="s">
        <v>14</v>
      </c>
      <c r="S44" s="706">
        <f t="shared" si="12"/>
        <v>100</v>
      </c>
      <c r="T44" s="705" t="s">
        <v>14</v>
      </c>
      <c r="U44" s="706">
        <f t="shared" si="13"/>
        <v>100</v>
      </c>
      <c r="V44" s="705" t="s">
        <v>14</v>
      </c>
      <c r="W44" s="706">
        <f t="shared" si="14"/>
        <v>100</v>
      </c>
      <c r="X44" s="1355"/>
      <c r="Y44" s="3729"/>
      <c r="Z44" s="1356" t="str">
        <f t="shared" si="15"/>
        <v>内部装修维护情况</v>
      </c>
      <c r="AA44" s="1353">
        <f t="shared" si="3"/>
        <v>1</v>
      </c>
      <c r="AB44" s="1353">
        <f t="shared" si="4"/>
        <v>1</v>
      </c>
      <c r="AC44" s="1961">
        <f t="shared" si="5"/>
        <v>1</v>
      </c>
    </row>
    <row r="45" spans="1:29" s="108" customFormat="1" ht="15.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7"/>
      <c r="Q45" s="1343">
        <f t="shared" si="11"/>
        <v>111</v>
      </c>
      <c r="R45" s="701" t="s">
        <v>14</v>
      </c>
      <c r="S45" s="702">
        <f t="shared" si="12"/>
        <v>100</v>
      </c>
      <c r="T45" s="701" t="s">
        <v>14</v>
      </c>
      <c r="U45" s="702">
        <f t="shared" si="13"/>
        <v>100</v>
      </c>
      <c r="V45" s="701" t="s">
        <v>14</v>
      </c>
      <c r="W45" s="702">
        <f t="shared" si="14"/>
        <v>100</v>
      </c>
      <c r="X45" s="703"/>
      <c r="Y45" s="3729"/>
      <c r="Z45" s="52">
        <f t="shared" si="15"/>
        <v>111</v>
      </c>
      <c r="AA45" s="704">
        <f t="shared" si="3"/>
        <v>1</v>
      </c>
      <c r="AB45" s="704">
        <f t="shared" si="4"/>
        <v>1</v>
      </c>
      <c r="AC45" s="1958">
        <f t="shared" si="5"/>
        <v>1</v>
      </c>
    </row>
    <row r="46" spans="1:29" ht="15.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7"/>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961">
        <f t="shared" si="5"/>
        <v>1</v>
      </c>
    </row>
    <row r="47" spans="1:29" ht="1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8"/>
      <c r="Q47" s="1352">
        <f t="shared" si="11"/>
        <v>111</v>
      </c>
      <c r="R47" s="705" t="s">
        <v>14</v>
      </c>
      <c r="S47" s="706">
        <f t="shared" si="12"/>
        <v>100</v>
      </c>
      <c r="T47" s="705" t="s">
        <v>14</v>
      </c>
      <c r="U47" s="706">
        <f t="shared" si="13"/>
        <v>100</v>
      </c>
      <c r="V47" s="705" t="s">
        <v>14</v>
      </c>
      <c r="W47" s="706">
        <f t="shared" si="14"/>
        <v>100</v>
      </c>
      <c r="X47" s="1355"/>
      <c r="Y47" s="3730"/>
      <c r="Z47" s="1356">
        <f t="shared" si="15"/>
        <v>111</v>
      </c>
      <c r="AA47" s="1353">
        <f t="shared" si="3"/>
        <v>1</v>
      </c>
      <c r="AB47" s="1353">
        <f t="shared" si="4"/>
        <v>1</v>
      </c>
      <c r="AC47" s="1961">
        <f t="shared" si="5"/>
        <v>1</v>
      </c>
    </row>
    <row r="48" spans="1:29">
      <c r="A48" s="430" t="s">
        <v>1708</v>
      </c>
      <c r="B48" s="431"/>
      <c r="C48" s="1154" t="s">
        <v>0</v>
      </c>
      <c r="D48" s="1155"/>
      <c r="E48" s="1156"/>
      <c r="F48" s="1157"/>
      <c r="G48" s="1158"/>
      <c r="H48" s="1159"/>
      <c r="I48" s="1156"/>
      <c r="J48" s="436"/>
      <c r="K48" s="714"/>
      <c r="L48" s="2722"/>
      <c r="M48" s="2714"/>
      <c r="N48" s="2714"/>
      <c r="O48" s="2714"/>
      <c r="P48" s="3703" t="str">
        <f>A48</f>
        <v>成交单价（元/平方米）</v>
      </c>
      <c r="Q48" s="3722"/>
      <c r="R48" s="3723">
        <f>E48</f>
        <v>0</v>
      </c>
      <c r="S48" s="3723"/>
      <c r="T48" s="3723">
        <f>G48</f>
        <v>0</v>
      </c>
      <c r="U48" s="3723"/>
      <c r="V48" s="3723">
        <f>I48</f>
        <v>0</v>
      </c>
      <c r="W48" s="3723"/>
      <c r="X48" s="397"/>
      <c r="Y48" s="712"/>
      <c r="Z48" s="397"/>
      <c r="AA48" s="397"/>
      <c r="AB48" s="397"/>
      <c r="AC48" s="578"/>
    </row>
    <row r="49" spans="1:29" ht="14.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703" t="str">
        <f>A49</f>
        <v>比较价值（元/平方米）</v>
      </c>
      <c r="Q49" s="3722"/>
      <c r="R49" s="3723" t="e">
        <f>IF(F1="售价",ROUND(PRODUCT(R48,AA7:AA47),0),ROUND(PRODUCT(R48,AA7:AA47),1))</f>
        <v>#DIV/0!</v>
      </c>
      <c r="S49" s="3723"/>
      <c r="T49" s="3723" t="e">
        <f>IF(F1="售价",ROUND(PRODUCT(T48,AB7:AB47),0),ROUND(PRODUCT(T48,AB7:AB47),1))</f>
        <v>#DIV/0!</v>
      </c>
      <c r="U49" s="3723"/>
      <c r="V49" s="3723" t="e">
        <f>IF(F1="售价",ROUND(PRODUCT(V48,AC7:AC47),0),ROUND(PRODUCT(V48,AC7:AC47),1))</f>
        <v>#DIV/0!</v>
      </c>
      <c r="W49" s="3723"/>
      <c r="X49" s="397"/>
      <c r="Y49" s="397"/>
      <c r="Z49" s="397"/>
      <c r="AA49" s="397"/>
      <c r="AB49" s="397"/>
      <c r="AC49" s="578"/>
    </row>
    <row r="50" spans="1:29" ht="14.5" thickBot="1">
      <c r="A50" s="441" t="s">
        <v>1794</v>
      </c>
      <c r="B50" s="442"/>
      <c r="C50" s="1163" t="e">
        <f>R50</f>
        <v>#DIV/0!</v>
      </c>
      <c r="D50" s="1163"/>
      <c r="E50" s="1163"/>
      <c r="F50" s="1163"/>
      <c r="G50" s="1163"/>
      <c r="H50" s="1163"/>
      <c r="I50" s="1163"/>
      <c r="J50" s="443"/>
      <c r="K50" s="715"/>
      <c r="L50" s="2722"/>
      <c r="M50" s="2714"/>
      <c r="N50" s="2714"/>
      <c r="O50" s="2714"/>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4.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8.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4.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4.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4.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4.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4.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8.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4.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4.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4.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4.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4.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4.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4.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4.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4.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4.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8.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57" customWidth="1"/>
    <col min="2" max="2" width="15.7265625" style="357" customWidth="1"/>
    <col min="3" max="3" width="14.3632812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357"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3" customFormat="1" ht="28.5" customHeight="1" thickBot="1">
      <c r="A1" s="1222" t="s">
        <v>1660</v>
      </c>
      <c r="B1" s="1956"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142.19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c r="A4" s="355" t="s">
        <v>1769</v>
      </c>
      <c r="B4" s="356"/>
      <c r="C4" s="3704" t="s">
        <v>1770</v>
      </c>
      <c r="D4" s="3705"/>
      <c r="E4" s="3706" t="s">
        <v>1771</v>
      </c>
      <c r="F4" s="3707"/>
      <c r="G4" s="3704" t="s">
        <v>1772</v>
      </c>
      <c r="H4" s="3705"/>
      <c r="I4" s="3704" t="s">
        <v>1773</v>
      </c>
      <c r="J4" s="3705"/>
      <c r="K4" s="559" t="s">
        <v>1774</v>
      </c>
      <c r="L4" s="913"/>
      <c r="M4" s="914"/>
      <c r="N4" s="914"/>
      <c r="O4" s="914"/>
      <c r="P4" s="3708" t="s">
        <v>1775</v>
      </c>
      <c r="Q4" s="3709"/>
      <c r="R4" s="3691" t="s">
        <v>1771</v>
      </c>
      <c r="S4" s="3692"/>
      <c r="T4" s="3691" t="s">
        <v>1772</v>
      </c>
      <c r="U4" s="3692"/>
      <c r="V4" s="3716" t="s">
        <v>1773</v>
      </c>
      <c r="W4" s="3716"/>
      <c r="X4" s="1355"/>
      <c r="Y4" s="3691" t="s">
        <v>1775</v>
      </c>
      <c r="Z4" s="3692"/>
      <c r="AA4" s="3686" t="s">
        <v>1771</v>
      </c>
      <c r="AB4" s="3687" t="s">
        <v>1772</v>
      </c>
      <c r="AC4" s="3686" t="s">
        <v>1773</v>
      </c>
    </row>
    <row r="5" spans="1:29">
      <c r="A5" s="358"/>
      <c r="B5" s="359"/>
      <c r="C5" s="3697" t="s">
        <v>1673</v>
      </c>
      <c r="D5" s="3698"/>
      <c r="E5" s="3733" t="s">
        <v>1674</v>
      </c>
      <c r="F5" s="3696"/>
      <c r="G5" s="3697" t="s">
        <v>1675</v>
      </c>
      <c r="H5" s="3698"/>
      <c r="I5" s="3697" t="s">
        <v>1676</v>
      </c>
      <c r="J5" s="3698"/>
      <c r="K5" s="559"/>
      <c r="L5" s="913"/>
      <c r="M5" s="914"/>
      <c r="N5" s="914"/>
      <c r="O5" s="914"/>
      <c r="P5" s="3710"/>
      <c r="Q5" s="3711"/>
      <c r="R5" s="3693"/>
      <c r="S5" s="3694"/>
      <c r="T5" s="3693"/>
      <c r="U5" s="3694"/>
      <c r="V5" s="3716"/>
      <c r="W5" s="3716"/>
      <c r="X5" s="1355"/>
      <c r="Y5" s="3693"/>
      <c r="Z5" s="3694"/>
      <c r="AA5" s="3687"/>
      <c r="AB5" s="3687"/>
      <c r="AC5" s="3687"/>
    </row>
    <row r="6" spans="1:29" ht="15" thickBot="1">
      <c r="A6" s="360"/>
      <c r="B6" s="361"/>
      <c r="C6" s="3699" t="s">
        <v>1677</v>
      </c>
      <c r="D6" s="3700"/>
      <c r="E6" s="3701" t="s">
        <v>1677</v>
      </c>
      <c r="F6" s="3702"/>
      <c r="G6" s="3699" t="s">
        <v>1677</v>
      </c>
      <c r="H6" s="3700"/>
      <c r="I6" s="3699" t="s">
        <v>1677</v>
      </c>
      <c r="J6" s="3700"/>
      <c r="K6" s="559" t="s">
        <v>1678</v>
      </c>
      <c r="L6" s="913"/>
      <c r="M6" s="914"/>
      <c r="N6" s="914"/>
      <c r="O6" s="914"/>
      <c r="P6" s="3712"/>
      <c r="Q6" s="3713"/>
      <c r="R6" s="3693"/>
      <c r="S6" s="3694"/>
      <c r="T6" s="3714"/>
      <c r="U6" s="3715"/>
      <c r="V6" s="3716"/>
      <c r="W6" s="3716"/>
      <c r="X6" s="1355"/>
      <c r="Y6" s="3714"/>
      <c r="Z6" s="3715"/>
      <c r="AA6" s="3688"/>
      <c r="AB6" s="3688"/>
      <c r="AC6" s="3688"/>
    </row>
    <row r="7" spans="1:29" s="108" customFormat="1" ht="14.5" thickBot="1">
      <c r="A7" s="362" t="s">
        <v>1679</v>
      </c>
      <c r="B7" s="363"/>
      <c r="C7" s="364">
        <f>'数据-取费表'!B2</f>
        <v>45072</v>
      </c>
      <c r="D7" s="365">
        <v>100</v>
      </c>
      <c r="E7" s="366"/>
      <c r="F7" s="367">
        <f>SUMIF(52:52,YEAR(E7)&amp;"-"&amp;MONTH(E7),53:53)</f>
        <v>0</v>
      </c>
      <c r="G7" s="366"/>
      <c r="H7" s="365">
        <f>SUMIF(52:52,YEAR(G7)&amp;"-"&amp;MONTH(G7),53:53)</f>
        <v>0</v>
      </c>
      <c r="I7" s="366"/>
      <c r="J7" s="365">
        <f>SUMIF(52:52,YEAR(I7)&amp;"-"&amp;MONTH(I7),53:53)</f>
        <v>0</v>
      </c>
      <c r="K7" s="560"/>
      <c r="L7" s="915"/>
      <c r="M7" s="916"/>
      <c r="N7" s="916"/>
      <c r="O7" s="916"/>
      <c r="P7" s="3689" t="s">
        <v>1680</v>
      </c>
      <c r="Q7" s="3718"/>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4.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9" t="s">
        <v>1683</v>
      </c>
      <c r="Q8" s="3690"/>
      <c r="R8" s="701" t="s">
        <v>14</v>
      </c>
      <c r="S8" s="702">
        <f t="shared" si="0"/>
        <v>100</v>
      </c>
      <c r="T8" s="701" t="s">
        <v>14</v>
      </c>
      <c r="U8" s="702">
        <f t="shared" si="1"/>
        <v>100</v>
      </c>
      <c r="V8" s="701" t="s">
        <v>14</v>
      </c>
      <c r="W8" s="702">
        <f t="shared" si="2"/>
        <v>100</v>
      </c>
      <c r="X8" s="703"/>
      <c r="Y8" s="3689" t="s">
        <v>1683</v>
      </c>
      <c r="Z8" s="369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2"/>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22"/>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22"/>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22"/>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70">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5">
      <c r="A16" s="379"/>
      <c r="B16" s="397"/>
      <c r="C16" s="398"/>
      <c r="D16" s="399"/>
      <c r="E16" s="398"/>
      <c r="F16" s="400"/>
      <c r="G16" s="398"/>
      <c r="H16" s="401"/>
      <c r="I16" s="398"/>
      <c r="J16" s="399"/>
      <c r="K16" s="564"/>
      <c r="L16" s="923"/>
      <c r="M16" s="914"/>
      <c r="N16" s="914"/>
      <c r="O16" s="922"/>
      <c r="P16" s="3725"/>
      <c r="Q16" s="1352"/>
      <c r="R16" s="705"/>
      <c r="S16" s="706"/>
      <c r="T16" s="705"/>
      <c r="U16" s="706"/>
      <c r="V16" s="705"/>
      <c r="W16" s="706"/>
      <c r="X16" s="1355"/>
      <c r="Y16" s="3725"/>
      <c r="Z16" s="1356"/>
      <c r="AA16" s="1353">
        <v>1</v>
      </c>
      <c r="AB16" s="1353">
        <v>1</v>
      </c>
      <c r="AC16" s="1353">
        <v>1</v>
      </c>
    </row>
    <row r="17" spans="1:29" ht="98">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5">
      <c r="A18" s="379"/>
      <c r="B18" s="407"/>
      <c r="C18" s="1901"/>
      <c r="D18" s="401"/>
      <c r="E18" s="1903"/>
      <c r="F18" s="404"/>
      <c r="G18" s="1902"/>
      <c r="H18" s="399"/>
      <c r="I18" s="1903"/>
      <c r="J18" s="399"/>
      <c r="K18" s="564"/>
      <c r="L18" s="923"/>
      <c r="M18" s="914"/>
      <c r="N18" s="914"/>
      <c r="O18" s="922"/>
      <c r="P18" s="3725"/>
      <c r="Q18" s="1352"/>
      <c r="R18" s="705"/>
      <c r="S18" s="706"/>
      <c r="T18" s="705"/>
      <c r="U18" s="706"/>
      <c r="V18" s="705"/>
      <c r="W18" s="706"/>
      <c r="X18" s="1355"/>
      <c r="Y18" s="3725"/>
      <c r="Z18" s="1356"/>
      <c r="AA18" s="1353">
        <v>1</v>
      </c>
      <c r="AB18" s="1353">
        <v>1</v>
      </c>
      <c r="AC18" s="1353">
        <v>1</v>
      </c>
    </row>
    <row r="19" spans="1:29" ht="42">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5"/>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5">
      <c r="A20" s="379"/>
      <c r="B20" s="407"/>
      <c r="C20" s="398"/>
      <c r="D20" s="399"/>
      <c r="E20" s="1898"/>
      <c r="F20" s="400"/>
      <c r="G20" s="1897"/>
      <c r="H20" s="399"/>
      <c r="I20" s="1898"/>
      <c r="J20" s="399"/>
      <c r="K20" s="564"/>
      <c r="L20" s="923"/>
      <c r="M20" s="914"/>
      <c r="N20" s="914"/>
      <c r="O20" s="922"/>
      <c r="P20" s="3725"/>
      <c r="Q20" s="1352"/>
      <c r="R20" s="705"/>
      <c r="S20" s="706"/>
      <c r="T20" s="705"/>
      <c r="U20" s="706"/>
      <c r="V20" s="705"/>
      <c r="W20" s="706"/>
      <c r="X20" s="1355"/>
      <c r="Y20" s="3725"/>
      <c r="Z20" s="1356"/>
      <c r="AA20" s="1353">
        <v>1</v>
      </c>
      <c r="AB20" s="1353">
        <v>1</v>
      </c>
      <c r="AC20" s="1353">
        <v>1</v>
      </c>
    </row>
    <row r="21" spans="1:29" ht="42">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5"/>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5">
      <c r="A22" s="379"/>
      <c r="B22" s="1131"/>
      <c r="C22" s="1901"/>
      <c r="D22" s="399"/>
      <c r="E22" s="398"/>
      <c r="F22" s="400"/>
      <c r="G22" s="398"/>
      <c r="H22" s="399"/>
      <c r="I22" s="398"/>
      <c r="J22" s="399"/>
      <c r="K22" s="1130"/>
      <c r="L22" s="923"/>
      <c r="M22" s="914"/>
      <c r="N22" s="914"/>
      <c r="O22" s="922"/>
      <c r="P22" s="3725"/>
      <c r="Q22" s="1352"/>
      <c r="R22" s="705"/>
      <c r="S22" s="706"/>
      <c r="T22" s="705"/>
      <c r="U22" s="706"/>
      <c r="V22" s="705"/>
      <c r="W22" s="706"/>
      <c r="X22" s="1355"/>
      <c r="Y22" s="3725"/>
      <c r="Z22" s="1356"/>
      <c r="AA22" s="1353">
        <v>1</v>
      </c>
      <c r="AB22" s="1353">
        <v>1</v>
      </c>
      <c r="AC22" s="1353">
        <v>1</v>
      </c>
    </row>
    <row r="23" spans="1:29" ht="84">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5"/>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353">
        <f t="shared" si="5"/>
        <v>1</v>
      </c>
    </row>
    <row r="24" spans="1:29" ht="15.5">
      <c r="A24" s="379"/>
      <c r="B24" s="1131"/>
      <c r="C24" s="398"/>
      <c r="D24" s="399"/>
      <c r="E24" s="1898"/>
      <c r="F24" s="400"/>
      <c r="G24" s="1897"/>
      <c r="H24" s="399"/>
      <c r="I24" s="1898"/>
      <c r="J24" s="399"/>
      <c r="K24" s="564"/>
      <c r="L24" s="923"/>
      <c r="M24" s="914"/>
      <c r="N24" s="914"/>
      <c r="O24" s="922"/>
      <c r="P24" s="3725"/>
      <c r="Q24" s="1352"/>
      <c r="R24" s="705"/>
      <c r="S24" s="706"/>
      <c r="T24" s="705"/>
      <c r="U24" s="706"/>
      <c r="V24" s="705"/>
      <c r="W24" s="706"/>
      <c r="X24" s="1355"/>
      <c r="Y24" s="3725"/>
      <c r="Z24" s="1356"/>
      <c r="AA24" s="1353">
        <v>1</v>
      </c>
      <c r="AB24" s="1353">
        <v>1</v>
      </c>
      <c r="AC24" s="1353">
        <v>1</v>
      </c>
    </row>
    <row r="25" spans="1:29" ht="15.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5"/>
      <c r="Q25" s="1352">
        <f>B25</f>
        <v>111</v>
      </c>
      <c r="R25" s="705" t="s">
        <v>14</v>
      </c>
      <c r="S25" s="706">
        <f>F25</f>
        <v>100</v>
      </c>
      <c r="T25" s="705" t="s">
        <v>14</v>
      </c>
      <c r="U25" s="706">
        <f>H25</f>
        <v>100</v>
      </c>
      <c r="V25" s="705" t="s">
        <v>14</v>
      </c>
      <c r="W25" s="706">
        <f>J25</f>
        <v>100</v>
      </c>
      <c r="X25" s="1355"/>
      <c r="Y25" s="3725"/>
      <c r="Z25" s="1356">
        <f>Q25</f>
        <v>111</v>
      </c>
      <c r="AA25" s="1353">
        <f t="shared" si="3"/>
        <v>1</v>
      </c>
      <c r="AB25" s="1353">
        <f t="shared" si="4"/>
        <v>1</v>
      </c>
      <c r="AC25" s="1353">
        <f t="shared" si="5"/>
        <v>1</v>
      </c>
    </row>
    <row r="26" spans="1:29" ht="15.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5"/>
      <c r="Q26" s="1352">
        <f t="shared" ref="Q26:Q40" si="11">B26</f>
        <v>111</v>
      </c>
      <c r="R26" s="705" t="s">
        <v>14</v>
      </c>
      <c r="S26" s="706">
        <f>F26</f>
        <v>100</v>
      </c>
      <c r="T26" s="705" t="s">
        <v>14</v>
      </c>
      <c r="U26" s="706">
        <f>H26</f>
        <v>100</v>
      </c>
      <c r="V26" s="705" t="s">
        <v>14</v>
      </c>
      <c r="W26" s="706">
        <f>J26</f>
        <v>100</v>
      </c>
      <c r="X26" s="1355"/>
      <c r="Y26" s="3725"/>
      <c r="Z26" s="1356">
        <f>Q26</f>
        <v>111</v>
      </c>
      <c r="AA26" s="1353">
        <f t="shared" si="3"/>
        <v>1</v>
      </c>
      <c r="AB26" s="1353">
        <f t="shared" si="4"/>
        <v>1</v>
      </c>
      <c r="AC26" s="1353">
        <f t="shared" si="5"/>
        <v>1</v>
      </c>
    </row>
    <row r="27" spans="1:29" s="108" customFormat="1" ht="15.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5"/>
      <c r="Q27" s="1343">
        <f t="shared" si="11"/>
        <v>111</v>
      </c>
      <c r="R27" s="701" t="s">
        <v>14</v>
      </c>
      <c r="S27" s="702">
        <f>F27</f>
        <v>100</v>
      </c>
      <c r="T27" s="701" t="s">
        <v>14</v>
      </c>
      <c r="U27" s="702">
        <f>H27</f>
        <v>100</v>
      </c>
      <c r="V27" s="701" t="s">
        <v>14</v>
      </c>
      <c r="W27" s="702">
        <f>J27</f>
        <v>100</v>
      </c>
      <c r="X27" s="703"/>
      <c r="Y27" s="3725"/>
      <c r="Z27" s="52">
        <f>Q27</f>
        <v>111</v>
      </c>
      <c r="AA27" s="1353">
        <f>D27/F27</f>
        <v>1</v>
      </c>
      <c r="AB27" s="1353">
        <f>D27/H27</f>
        <v>1</v>
      </c>
      <c r="AC27" s="1353">
        <f>D27/J27</f>
        <v>1</v>
      </c>
    </row>
    <row r="28" spans="1:29" ht="1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5"/>
      <c r="Q28" s="1352">
        <f t="shared" si="11"/>
        <v>111</v>
      </c>
      <c r="R28" s="705" t="s">
        <v>14</v>
      </c>
      <c r="S28" s="706">
        <f t="shared" ref="S28:S40" si="12">F28</f>
        <v>100</v>
      </c>
      <c r="T28" s="705" t="s">
        <v>14</v>
      </c>
      <c r="U28" s="706">
        <f t="shared" ref="U28:U40" si="13">H28</f>
        <v>100</v>
      </c>
      <c r="V28" s="705" t="s">
        <v>14</v>
      </c>
      <c r="W28" s="706">
        <f t="shared" ref="W28:W40" si="14">J28</f>
        <v>100</v>
      </c>
      <c r="X28" s="1355"/>
      <c r="Y28" s="3725"/>
      <c r="Z28" s="1356">
        <f t="shared" ref="Z28:Z40" si="15">Q28</f>
        <v>111</v>
      </c>
      <c r="AA28" s="1353">
        <f t="shared" si="3"/>
        <v>1</v>
      </c>
      <c r="AB28" s="1353">
        <f t="shared" si="4"/>
        <v>1</v>
      </c>
      <c r="AC28" s="1353">
        <f t="shared" si="5"/>
        <v>1</v>
      </c>
    </row>
    <row r="29" spans="1:29" ht="29">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9" t="s">
        <v>1696</v>
      </c>
      <c r="Q29" s="1352" t="str">
        <f t="shared" si="11"/>
        <v>建筑类型</v>
      </c>
      <c r="R29" s="705" t="s">
        <v>14</v>
      </c>
      <c r="S29" s="706">
        <f t="shared" si="12"/>
        <v>100</v>
      </c>
      <c r="T29" s="705" t="s">
        <v>14</v>
      </c>
      <c r="U29" s="706">
        <f t="shared" si="13"/>
        <v>100</v>
      </c>
      <c r="V29" s="705" t="s">
        <v>14</v>
      </c>
      <c r="W29" s="706">
        <f t="shared" si="14"/>
        <v>100</v>
      </c>
      <c r="X29" s="1355"/>
      <c r="Y29" s="3729" t="s">
        <v>1696</v>
      </c>
      <c r="Z29" s="1356" t="str">
        <f t="shared" si="15"/>
        <v>建筑类型</v>
      </c>
      <c r="AA29" s="1353">
        <f t="shared" si="3"/>
        <v>1</v>
      </c>
      <c r="AB29" s="1353">
        <f t="shared" si="4"/>
        <v>1</v>
      </c>
      <c r="AC29" s="1353">
        <f t="shared" si="5"/>
        <v>1</v>
      </c>
    </row>
    <row r="30" spans="1:29" s="422" customFormat="1" ht="15.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9"/>
      <c r="Q30" s="707" t="str">
        <f t="shared" si="11"/>
        <v>项目建筑规模</v>
      </c>
      <c r="R30" s="708" t="s">
        <v>14</v>
      </c>
      <c r="S30" s="709" t="e">
        <f t="shared" si="12"/>
        <v>#N/A</v>
      </c>
      <c r="T30" s="708" t="s">
        <v>14</v>
      </c>
      <c r="U30" s="709" t="e">
        <f t="shared" si="13"/>
        <v>#N/A</v>
      </c>
      <c r="V30" s="708" t="s">
        <v>14</v>
      </c>
      <c r="W30" s="709" t="e">
        <f t="shared" si="14"/>
        <v>#N/A</v>
      </c>
      <c r="X30" s="710"/>
      <c r="Y30" s="3729"/>
      <c r="Z30" s="711" t="str">
        <f t="shared" si="15"/>
        <v>项目建筑规模</v>
      </c>
      <c r="AA30" s="1353" t="e">
        <f t="shared" si="3"/>
        <v>#N/A</v>
      </c>
      <c r="AB30" s="1353" t="e">
        <f t="shared" si="4"/>
        <v>#N/A</v>
      </c>
      <c r="AC30" s="1353" t="e">
        <f t="shared" si="5"/>
        <v>#N/A</v>
      </c>
    </row>
    <row r="31" spans="1:29" ht="15.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9"/>
      <c r="Q31" s="1352" t="str">
        <f t="shared" si="11"/>
        <v>建筑结构</v>
      </c>
      <c r="R31" s="705" t="s">
        <v>14</v>
      </c>
      <c r="S31" s="706">
        <f t="shared" si="12"/>
        <v>100</v>
      </c>
      <c r="T31" s="705" t="s">
        <v>14</v>
      </c>
      <c r="U31" s="706">
        <f t="shared" si="13"/>
        <v>100</v>
      </c>
      <c r="V31" s="705" t="s">
        <v>14</v>
      </c>
      <c r="W31" s="706">
        <f t="shared" si="14"/>
        <v>100</v>
      </c>
      <c r="X31" s="1355"/>
      <c r="Y31" s="3729"/>
      <c r="Z31" s="1356" t="str">
        <f t="shared" si="15"/>
        <v>建筑结构</v>
      </c>
      <c r="AA31" s="1353">
        <f t="shared" si="3"/>
        <v>1</v>
      </c>
      <c r="AB31" s="1353">
        <f t="shared" si="4"/>
        <v>1</v>
      </c>
      <c r="AC31" s="1353">
        <f t="shared" si="5"/>
        <v>1</v>
      </c>
    </row>
    <row r="32" spans="1:29" ht="15.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9"/>
      <c r="Q32" s="1352" t="str">
        <f t="shared" si="11"/>
        <v>公共部分装修</v>
      </c>
      <c r="R32" s="705" t="s">
        <v>14</v>
      </c>
      <c r="S32" s="706">
        <f t="shared" si="12"/>
        <v>100</v>
      </c>
      <c r="T32" s="705" t="s">
        <v>14</v>
      </c>
      <c r="U32" s="706">
        <f t="shared" si="13"/>
        <v>100</v>
      </c>
      <c r="V32" s="705" t="s">
        <v>14</v>
      </c>
      <c r="W32" s="706">
        <f t="shared" si="14"/>
        <v>100</v>
      </c>
      <c r="X32" s="1355"/>
      <c r="Y32" s="3729"/>
      <c r="Z32" s="1356" t="str">
        <f t="shared" si="15"/>
        <v>公共部分装修</v>
      </c>
      <c r="AA32" s="1353">
        <f t="shared" si="3"/>
        <v>1</v>
      </c>
      <c r="AB32" s="1353">
        <f t="shared" si="4"/>
        <v>1</v>
      </c>
      <c r="AC32" s="1353">
        <f t="shared" si="5"/>
        <v>1</v>
      </c>
    </row>
    <row r="33" spans="1:29" ht="15.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9"/>
      <c r="Q33" s="1352" t="str">
        <f t="shared" si="11"/>
        <v>成新度</v>
      </c>
      <c r="R33" s="705" t="s">
        <v>14</v>
      </c>
      <c r="S33" s="706" t="e">
        <f t="shared" si="12"/>
        <v>#N/A</v>
      </c>
      <c r="T33" s="705" t="s">
        <v>14</v>
      </c>
      <c r="U33" s="706" t="e">
        <f t="shared" si="13"/>
        <v>#N/A</v>
      </c>
      <c r="V33" s="705" t="s">
        <v>14</v>
      </c>
      <c r="W33" s="706" t="e">
        <f t="shared" si="14"/>
        <v>#N/A</v>
      </c>
      <c r="X33" s="1355"/>
      <c r="Y33" s="3729"/>
      <c r="Z33" s="1356" t="str">
        <f t="shared" si="15"/>
        <v>成新度</v>
      </c>
      <c r="AA33" s="1353" t="e">
        <f t="shared" si="3"/>
        <v>#N/A</v>
      </c>
      <c r="AB33" s="1353" t="e">
        <f t="shared" si="4"/>
        <v>#N/A</v>
      </c>
      <c r="AC33" s="1353" t="e">
        <f t="shared" si="5"/>
        <v>#N/A</v>
      </c>
    </row>
    <row r="34" spans="1:29" s="108" customFormat="1" ht="15.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9"/>
      <c r="Q34" s="1343" t="str">
        <f t="shared" si="11"/>
        <v>物业管理</v>
      </c>
      <c r="R34" s="701" t="s">
        <v>14</v>
      </c>
      <c r="S34" s="702">
        <f t="shared" si="12"/>
        <v>100</v>
      </c>
      <c r="T34" s="701" t="s">
        <v>14</v>
      </c>
      <c r="U34" s="702">
        <f t="shared" si="13"/>
        <v>100</v>
      </c>
      <c r="V34" s="701" t="s">
        <v>14</v>
      </c>
      <c r="W34" s="702">
        <f t="shared" si="14"/>
        <v>100</v>
      </c>
      <c r="X34" s="703"/>
      <c r="Y34" s="3729"/>
      <c r="Z34" s="52" t="str">
        <f t="shared" si="15"/>
        <v>物业管理</v>
      </c>
      <c r="AA34" s="704">
        <f t="shared" si="3"/>
        <v>1</v>
      </c>
      <c r="AB34" s="704">
        <f t="shared" si="4"/>
        <v>1</v>
      </c>
      <c r="AC34" s="704">
        <f t="shared" si="5"/>
        <v>1</v>
      </c>
    </row>
    <row r="35" spans="1:29" ht="15.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9" t="s">
        <v>1696</v>
      </c>
      <c r="Q35" s="1352" t="str">
        <f t="shared" si="11"/>
        <v>市政基础设施</v>
      </c>
      <c r="R35" s="705" t="s">
        <v>14</v>
      </c>
      <c r="S35" s="706">
        <f t="shared" si="12"/>
        <v>100</v>
      </c>
      <c r="T35" s="705" t="s">
        <v>14</v>
      </c>
      <c r="U35" s="706">
        <f t="shared" si="13"/>
        <v>100</v>
      </c>
      <c r="V35" s="705" t="s">
        <v>14</v>
      </c>
      <c r="W35" s="706">
        <f t="shared" si="14"/>
        <v>100</v>
      </c>
      <c r="X35" s="1355"/>
      <c r="Y35" s="3729" t="s">
        <v>1696</v>
      </c>
      <c r="Z35" s="1356" t="str">
        <f t="shared" si="15"/>
        <v>市政基础设施</v>
      </c>
      <c r="AA35" s="1353">
        <f t="shared" si="3"/>
        <v>1</v>
      </c>
      <c r="AB35" s="1353">
        <f t="shared" si="4"/>
        <v>1</v>
      </c>
      <c r="AC35" s="1353">
        <f t="shared" si="5"/>
        <v>1</v>
      </c>
    </row>
    <row r="36" spans="1:29" ht="15.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9"/>
      <c r="Q36" s="1352" t="str">
        <f t="shared" si="11"/>
        <v>内部装修</v>
      </c>
      <c r="R36" s="705" t="s">
        <v>14</v>
      </c>
      <c r="S36" s="706">
        <f t="shared" si="12"/>
        <v>100</v>
      </c>
      <c r="T36" s="705" t="s">
        <v>14</v>
      </c>
      <c r="U36" s="706">
        <f t="shared" si="13"/>
        <v>100</v>
      </c>
      <c r="V36" s="705" t="s">
        <v>14</v>
      </c>
      <c r="W36" s="706">
        <f t="shared" si="14"/>
        <v>100</v>
      </c>
      <c r="X36" s="1355"/>
      <c r="Y36" s="3729"/>
      <c r="Z36" s="1356" t="str">
        <f t="shared" si="15"/>
        <v>内部装修</v>
      </c>
      <c r="AA36" s="1353">
        <f t="shared" si="3"/>
        <v>1</v>
      </c>
      <c r="AB36" s="1353">
        <f t="shared" si="4"/>
        <v>1</v>
      </c>
      <c r="AC36" s="1353">
        <f t="shared" si="5"/>
        <v>1</v>
      </c>
    </row>
    <row r="37" spans="1:29" ht="15.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9"/>
      <c r="Q37" s="1352" t="str">
        <f t="shared" si="11"/>
        <v>内部装修状况</v>
      </c>
      <c r="R37" s="705" t="s">
        <v>14</v>
      </c>
      <c r="S37" s="706">
        <f t="shared" si="12"/>
        <v>100</v>
      </c>
      <c r="T37" s="705" t="s">
        <v>14</v>
      </c>
      <c r="U37" s="706">
        <f t="shared" si="13"/>
        <v>100</v>
      </c>
      <c r="V37" s="705" t="s">
        <v>14</v>
      </c>
      <c r="W37" s="706">
        <f t="shared" si="14"/>
        <v>100</v>
      </c>
      <c r="X37" s="1355"/>
      <c r="Y37" s="3729"/>
      <c r="Z37" s="1356" t="str">
        <f t="shared" si="15"/>
        <v>内部装修状况</v>
      </c>
      <c r="AA37" s="1353">
        <f t="shared" si="3"/>
        <v>1</v>
      </c>
      <c r="AB37" s="1353">
        <f t="shared" si="4"/>
        <v>1</v>
      </c>
      <c r="AC37" s="1353">
        <f t="shared" si="5"/>
        <v>1</v>
      </c>
    </row>
    <row r="38" spans="1:29" s="422" customFormat="1" ht="15.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9"/>
      <c r="Q38" s="707">
        <f t="shared" si="11"/>
        <v>111</v>
      </c>
      <c r="R38" s="708" t="s">
        <v>14</v>
      </c>
      <c r="S38" s="709">
        <f t="shared" si="12"/>
        <v>100</v>
      </c>
      <c r="T38" s="708" t="s">
        <v>14</v>
      </c>
      <c r="U38" s="709">
        <f t="shared" si="13"/>
        <v>100</v>
      </c>
      <c r="V38" s="708" t="s">
        <v>14</v>
      </c>
      <c r="W38" s="709">
        <f t="shared" si="14"/>
        <v>100</v>
      </c>
      <c r="X38" s="710"/>
      <c r="Y38" s="3729"/>
      <c r="Z38" s="711">
        <f t="shared" si="15"/>
        <v>111</v>
      </c>
      <c r="AA38" s="1353">
        <f t="shared" si="3"/>
        <v>1</v>
      </c>
      <c r="AB38" s="1353">
        <f t="shared" si="4"/>
        <v>1</v>
      </c>
      <c r="AC38" s="1353">
        <f t="shared" si="5"/>
        <v>1</v>
      </c>
    </row>
    <row r="39" spans="1:29" ht="15.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9"/>
      <c r="Q39" s="1352">
        <f t="shared" si="11"/>
        <v>111</v>
      </c>
      <c r="R39" s="705" t="s">
        <v>14</v>
      </c>
      <c r="S39" s="706">
        <f t="shared" si="12"/>
        <v>100</v>
      </c>
      <c r="T39" s="705" t="s">
        <v>14</v>
      </c>
      <c r="U39" s="706">
        <f t="shared" si="13"/>
        <v>100</v>
      </c>
      <c r="V39" s="705" t="s">
        <v>14</v>
      </c>
      <c r="W39" s="706">
        <f t="shared" si="14"/>
        <v>100</v>
      </c>
      <c r="X39" s="1355"/>
      <c r="Y39" s="3729"/>
      <c r="Z39" s="1356">
        <f t="shared" si="15"/>
        <v>111</v>
      </c>
      <c r="AA39" s="1353">
        <f t="shared" si="3"/>
        <v>1</v>
      </c>
      <c r="AB39" s="1353">
        <f t="shared" si="4"/>
        <v>1</v>
      </c>
      <c r="AC39" s="1353">
        <f t="shared" si="5"/>
        <v>1</v>
      </c>
    </row>
    <row r="40" spans="1:29" ht="1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0"/>
      <c r="Q40" s="1352">
        <f t="shared" si="11"/>
        <v>111</v>
      </c>
      <c r="R40" s="705" t="s">
        <v>14</v>
      </c>
      <c r="S40" s="706">
        <f t="shared" si="12"/>
        <v>100</v>
      </c>
      <c r="T40" s="705" t="s">
        <v>14</v>
      </c>
      <c r="U40" s="706">
        <f t="shared" si="13"/>
        <v>100</v>
      </c>
      <c r="V40" s="705" t="s">
        <v>14</v>
      </c>
      <c r="W40" s="706">
        <f t="shared" si="14"/>
        <v>100</v>
      </c>
      <c r="X40" s="1355"/>
      <c r="Y40" s="3730"/>
      <c r="Z40" s="1356">
        <f t="shared" si="15"/>
        <v>111</v>
      </c>
      <c r="AA40" s="1353">
        <f t="shared" si="3"/>
        <v>1</v>
      </c>
      <c r="AB40" s="1353">
        <f t="shared" si="4"/>
        <v>1</v>
      </c>
      <c r="AC40" s="1353">
        <f t="shared" si="5"/>
        <v>1</v>
      </c>
    </row>
    <row r="41" spans="1:29">
      <c r="A41" s="430" t="s">
        <v>1708</v>
      </c>
      <c r="B41" s="431"/>
      <c r="C41" s="1154" t="s">
        <v>0</v>
      </c>
      <c r="D41" s="1155"/>
      <c r="E41" s="1156"/>
      <c r="F41" s="1157"/>
      <c r="G41" s="1158"/>
      <c r="H41" s="1159"/>
      <c r="I41" s="1156"/>
      <c r="J41" s="1159"/>
      <c r="K41" s="714"/>
      <c r="L41" s="926"/>
      <c r="M41" s="927"/>
      <c r="N41" s="914"/>
      <c r="O41" s="927"/>
      <c r="P41" s="3722" t="str">
        <f>A41</f>
        <v>成交单价（元/平方米）</v>
      </c>
      <c r="Q41" s="3722"/>
      <c r="R41" s="3723">
        <f>E41</f>
        <v>0</v>
      </c>
      <c r="S41" s="3723"/>
      <c r="T41" s="3723">
        <f>G41</f>
        <v>0</v>
      </c>
      <c r="U41" s="3723"/>
      <c r="V41" s="3723">
        <f>I41</f>
        <v>0</v>
      </c>
      <c r="W41" s="3723"/>
      <c r="X41" s="690"/>
      <c r="Y41" s="712"/>
      <c r="Z41" s="690"/>
      <c r="AA41" s="690"/>
      <c r="AB41" s="690"/>
      <c r="AC41" s="690"/>
    </row>
    <row r="42" spans="1:29" ht="14.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90"/>
      <c r="Y42" s="690"/>
      <c r="Z42" s="690"/>
      <c r="AA42" s="690"/>
      <c r="AB42" s="690"/>
      <c r="AC42" s="690"/>
    </row>
    <row r="43" spans="1:29" ht="14.5" thickBot="1">
      <c r="A43" s="441" t="s">
        <v>1794</v>
      </c>
      <c r="B43" s="442"/>
      <c r="C43" s="1163" t="e">
        <f>R43</f>
        <v>#DIV/0!</v>
      </c>
      <c r="D43" s="1163"/>
      <c r="E43" s="1163"/>
      <c r="F43" s="1163"/>
      <c r="G43" s="1163"/>
      <c r="H43" s="1163"/>
      <c r="I43" s="1163"/>
      <c r="J43" s="1163"/>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5" thickBot="1">
      <c r="A51" s="694" t="s">
        <v>1798</v>
      </c>
      <c r="B51" s="690"/>
      <c r="C51" s="695"/>
      <c r="D51" s="695"/>
      <c r="E51" s="695"/>
      <c r="F51" s="696"/>
      <c r="G51" s="696"/>
      <c r="H51" s="695"/>
      <c r="I51" s="695"/>
      <c r="J51" s="695"/>
      <c r="K51" s="941"/>
      <c r="L51" s="942"/>
      <c r="M51" s="940"/>
      <c r="N51" s="940"/>
      <c r="O51" s="940"/>
      <c r="P51" s="452"/>
      <c r="Q51" s="453"/>
    </row>
    <row r="52" spans="1:17" s="457" customFormat="1">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4.5" thickBot="1">
      <c r="A54" s="464" t="s">
        <v>1716</v>
      </c>
      <c r="B54" s="465"/>
      <c r="C54" s="466"/>
      <c r="D54" s="467"/>
      <c r="E54" s="467"/>
      <c r="F54" s="467"/>
      <c r="G54" s="467"/>
      <c r="H54" s="467"/>
      <c r="I54" s="467"/>
      <c r="J54" s="467"/>
      <c r="K54" s="467"/>
      <c r="L54" s="467"/>
      <c r="M54" s="468"/>
      <c r="N54" s="2768"/>
      <c r="O54" s="2769"/>
      <c r="P54" s="453"/>
      <c r="Q54" s="453"/>
    </row>
    <row r="55" spans="1:17" s="108" customFormat="1">
      <c r="A55" s="470" t="s">
        <v>1681</v>
      </c>
      <c r="B55" s="459"/>
      <c r="C55" s="471" t="s">
        <v>1776</v>
      </c>
      <c r="D55" s="472"/>
      <c r="E55" s="472"/>
      <c r="F55" s="472"/>
      <c r="G55" s="472"/>
      <c r="H55" s="472"/>
      <c r="I55" s="472"/>
      <c r="J55" s="472"/>
      <c r="K55" s="472"/>
      <c r="L55" s="473"/>
      <c r="M55" s="474"/>
      <c r="N55" s="932"/>
      <c r="O55" s="932"/>
      <c r="P55" s="475"/>
      <c r="Q55" s="453"/>
    </row>
    <row r="56" spans="1:17" s="108" customFormat="1" ht="14.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4.5" thickBot="1">
      <c r="A58" s="483"/>
      <c r="B58" s="484"/>
      <c r="C58" s="485">
        <v>100</v>
      </c>
      <c r="D58" s="485"/>
      <c r="E58" s="485"/>
      <c r="F58" s="485"/>
      <c r="G58" s="485"/>
      <c r="H58" s="485"/>
      <c r="I58" s="485"/>
      <c r="J58" s="485"/>
      <c r="K58" s="485"/>
      <c r="L58" s="485"/>
      <c r="M58" s="486"/>
      <c r="N58" s="934"/>
      <c r="O58" s="934"/>
      <c r="P58" s="42"/>
      <c r="Q58" s="453"/>
    </row>
    <row r="59" spans="1:17" ht="28.5" thickTop="1">
      <c r="A59" s="483"/>
      <c r="B59" s="487" t="s">
        <v>1688</v>
      </c>
      <c r="C59" s="532"/>
      <c r="D59" s="532"/>
      <c r="E59" s="532"/>
      <c r="F59" s="532"/>
      <c r="G59" s="532"/>
      <c r="H59" s="532"/>
      <c r="I59" s="532"/>
      <c r="J59" s="532"/>
      <c r="K59" s="533"/>
      <c r="L59" s="534"/>
      <c r="M59" s="535"/>
      <c r="N59" s="933"/>
      <c r="O59" s="933"/>
      <c r="P59" s="42"/>
      <c r="Q59" s="453"/>
    </row>
    <row r="60" spans="1:17" ht="14.5" thickBot="1">
      <c r="A60" s="483"/>
      <c r="B60" s="492"/>
      <c r="C60" s="485"/>
      <c r="D60" s="485"/>
      <c r="E60" s="485"/>
      <c r="F60" s="485"/>
      <c r="G60" s="485"/>
      <c r="H60" s="485"/>
      <c r="I60" s="485"/>
      <c r="J60" s="485"/>
      <c r="K60" s="485"/>
      <c r="L60" s="485"/>
      <c r="M60" s="486"/>
      <c r="N60" s="934"/>
      <c r="O60" s="934"/>
      <c r="P60" s="42"/>
      <c r="Q60" s="453"/>
    </row>
    <row r="61" spans="1:17" ht="14.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5" thickTop="1">
      <c r="A64" s="502"/>
      <c r="B64" s="487">
        <f>B12</f>
        <v>111</v>
      </c>
      <c r="C64" s="503"/>
      <c r="D64" s="503"/>
      <c r="E64" s="503"/>
      <c r="F64" s="503"/>
      <c r="G64" s="503"/>
      <c r="H64" s="504"/>
      <c r="I64" s="504"/>
      <c r="J64" s="504"/>
      <c r="K64" s="504"/>
      <c r="L64" s="505"/>
      <c r="M64" s="506"/>
      <c r="N64" s="935"/>
      <c r="O64" s="935"/>
      <c r="P64" s="507"/>
      <c r="Q64" s="508"/>
    </row>
    <row r="65" spans="1:17" s="422" customFormat="1" ht="14.5" thickBot="1">
      <c r="A65" s="502"/>
      <c r="B65" s="492"/>
      <c r="C65" s="509"/>
      <c r="D65" s="485"/>
      <c r="E65" s="485"/>
      <c r="F65" s="485"/>
      <c r="G65" s="485"/>
      <c r="H65" s="485"/>
      <c r="I65" s="485"/>
      <c r="J65" s="485"/>
      <c r="K65" s="485"/>
      <c r="L65" s="485"/>
      <c r="M65" s="486"/>
      <c r="N65" s="934"/>
      <c r="O65" s="934"/>
      <c r="P65" s="507"/>
      <c r="Q65" s="508"/>
    </row>
    <row r="66" spans="1:17" s="422" customFormat="1" ht="14.5" thickTop="1">
      <c r="A66" s="502"/>
      <c r="B66" s="487">
        <f>B13</f>
        <v>111</v>
      </c>
      <c r="C66" s="503"/>
      <c r="D66" s="503"/>
      <c r="E66" s="503"/>
      <c r="F66" s="503"/>
      <c r="G66" s="503"/>
      <c r="H66" s="504"/>
      <c r="I66" s="504"/>
      <c r="J66" s="504"/>
      <c r="K66" s="504"/>
      <c r="L66" s="505"/>
      <c r="M66" s="506"/>
      <c r="N66" s="935"/>
      <c r="O66" s="935"/>
      <c r="P66" s="421"/>
      <c r="Q66" s="510"/>
    </row>
    <row r="67" spans="1:17" s="422" customFormat="1" ht="14.5" thickBot="1">
      <c r="A67" s="502"/>
      <c r="B67" s="492"/>
      <c r="C67" s="509"/>
      <c r="D67" s="485"/>
      <c r="E67" s="485"/>
      <c r="F67" s="485"/>
      <c r="G67" s="509"/>
      <c r="H67" s="511"/>
      <c r="I67" s="511"/>
      <c r="J67" s="511"/>
      <c r="K67" s="511"/>
      <c r="L67" s="511"/>
      <c r="M67" s="512"/>
      <c r="N67" s="935"/>
      <c r="O67" s="935"/>
      <c r="P67" s="507"/>
      <c r="Q67" s="508"/>
    </row>
    <row r="68" spans="1:17" s="422" customFormat="1" ht="14.5" thickTop="1">
      <c r="A68" s="502"/>
      <c r="B68" s="495">
        <f>B14</f>
        <v>111</v>
      </c>
      <c r="C68" s="472"/>
      <c r="D68" s="472"/>
      <c r="E68" s="472"/>
      <c r="F68" s="472"/>
      <c r="G68" s="472"/>
      <c r="H68" s="513"/>
      <c r="I68" s="513"/>
      <c r="J68" s="513"/>
      <c r="K68" s="513"/>
      <c r="L68" s="514"/>
      <c r="M68" s="515"/>
      <c r="N68" s="935"/>
      <c r="O68" s="935"/>
      <c r="P68" s="516"/>
      <c r="Q68" s="508"/>
    </row>
    <row r="69" spans="1:17" s="422" customFormat="1" ht="14.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4.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4.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4.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4.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5" thickTop="1">
      <c r="A80" s="528"/>
      <c r="B80" s="487">
        <f>B25</f>
        <v>111</v>
      </c>
      <c r="C80" s="503"/>
      <c r="D80" s="503"/>
      <c r="E80" s="503"/>
      <c r="F80" s="503"/>
      <c r="G80" s="503"/>
      <c r="H80" s="503"/>
      <c r="I80" s="503"/>
      <c r="J80" s="503"/>
      <c r="K80" s="503"/>
      <c r="L80" s="529"/>
      <c r="M80" s="530"/>
      <c r="N80" s="932"/>
      <c r="O80" s="932"/>
      <c r="P80" s="42"/>
      <c r="Q80" s="453"/>
    </row>
    <row r="81" spans="1:17" s="108" customFormat="1" ht="14.5" thickBot="1">
      <c r="A81" s="528"/>
      <c r="B81" s="492"/>
      <c r="C81" s="509"/>
      <c r="D81" s="485"/>
      <c r="E81" s="485"/>
      <c r="F81" s="485"/>
      <c r="G81" s="485"/>
      <c r="H81" s="485"/>
      <c r="I81" s="485"/>
      <c r="J81" s="485"/>
      <c r="K81" s="485"/>
      <c r="L81" s="485"/>
      <c r="M81" s="486"/>
      <c r="N81" s="934"/>
      <c r="O81" s="934"/>
      <c r="P81" s="42"/>
      <c r="Q81" s="453"/>
    </row>
    <row r="82" spans="1:17" s="108" customFormat="1" ht="14.5" thickTop="1">
      <c r="A82" s="528"/>
      <c r="B82" s="487">
        <f>B26</f>
        <v>111</v>
      </c>
      <c r="C82" s="503"/>
      <c r="D82" s="503"/>
      <c r="E82" s="503"/>
      <c r="F82" s="503"/>
      <c r="G82" s="503"/>
      <c r="H82" s="503"/>
      <c r="I82" s="503"/>
      <c r="J82" s="503"/>
      <c r="K82" s="503"/>
      <c r="L82" s="529"/>
      <c r="M82" s="530"/>
      <c r="N82" s="932"/>
      <c r="O82" s="932"/>
      <c r="P82" s="42"/>
      <c r="Q82" s="453"/>
    </row>
    <row r="83" spans="1:17" s="108" customFormat="1" ht="14.5" thickBot="1">
      <c r="A83" s="528"/>
      <c r="B83" s="492"/>
      <c r="C83" s="509"/>
      <c r="D83" s="485"/>
      <c r="E83" s="485"/>
      <c r="F83" s="485"/>
      <c r="G83" s="485"/>
      <c r="H83" s="485"/>
      <c r="I83" s="485"/>
      <c r="J83" s="485"/>
      <c r="K83" s="485"/>
      <c r="L83" s="485"/>
      <c r="M83" s="486"/>
      <c r="N83" s="934"/>
      <c r="O83" s="934"/>
      <c r="P83" s="42"/>
      <c r="Q83" s="453"/>
    </row>
    <row r="84" spans="1:17" s="422" customFormat="1" ht="14.5" thickTop="1">
      <c r="A84" s="502"/>
      <c r="B84" s="487">
        <f>B27</f>
        <v>111</v>
      </c>
      <c r="C84" s="503"/>
      <c r="D84" s="503"/>
      <c r="E84" s="503"/>
      <c r="F84" s="503"/>
      <c r="G84" s="503"/>
      <c r="H84" s="503"/>
      <c r="I84" s="503"/>
      <c r="J84" s="503"/>
      <c r="K84" s="503"/>
      <c r="L84" s="529"/>
      <c r="M84" s="530"/>
      <c r="N84" s="935"/>
      <c r="O84" s="935"/>
      <c r="P84" s="507"/>
      <c r="Q84" s="508"/>
    </row>
    <row r="85" spans="1:17" s="422" customFormat="1" ht="14.5" thickBot="1">
      <c r="A85" s="502"/>
      <c r="B85" s="492"/>
      <c r="C85" s="509"/>
      <c r="D85" s="485"/>
      <c r="E85" s="485"/>
      <c r="F85" s="485"/>
      <c r="G85" s="485"/>
      <c r="H85" s="485"/>
      <c r="I85" s="485"/>
      <c r="J85" s="485"/>
      <c r="K85" s="485"/>
      <c r="L85" s="485"/>
      <c r="M85" s="486"/>
      <c r="N85" s="935"/>
      <c r="O85" s="935"/>
      <c r="P85" s="507"/>
      <c r="Q85" s="508"/>
    </row>
    <row r="86" spans="1:17" ht="14.5" thickTop="1">
      <c r="A86" s="483"/>
      <c r="B86" s="495">
        <f>B28</f>
        <v>111</v>
      </c>
      <c r="C86" s="472"/>
      <c r="D86" s="472"/>
      <c r="E86" s="472"/>
      <c r="F86" s="472"/>
      <c r="G86" s="536"/>
      <c r="H86" s="536"/>
      <c r="I86" s="536"/>
      <c r="J86" s="536"/>
      <c r="K86" s="537"/>
      <c r="L86" s="538"/>
      <c r="M86" s="539"/>
      <c r="N86" s="933"/>
      <c r="O86" s="933"/>
      <c r="P86" s="42"/>
      <c r="Q86" s="453"/>
    </row>
    <row r="87" spans="1:17" ht="14.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4.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4.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5" thickBot="1">
      <c r="A92" s="502"/>
      <c r="B92" s="492"/>
      <c r="C92" s="509"/>
      <c r="D92" s="485"/>
      <c r="E92" s="485"/>
      <c r="F92" s="485"/>
      <c r="G92" s="485"/>
      <c r="H92" s="485"/>
      <c r="I92" s="485"/>
      <c r="J92" s="485"/>
      <c r="K92" s="485"/>
      <c r="L92" s="485"/>
      <c r="M92" s="486"/>
      <c r="N92" s="934"/>
      <c r="O92" s="934"/>
      <c r="P92" s="507"/>
      <c r="Q92" s="508"/>
    </row>
    <row r="93" spans="1:17" ht="14.5" thickTop="1">
      <c r="A93" s="548"/>
      <c r="B93" s="487" t="s">
        <v>1738</v>
      </c>
      <c r="C93" s="503"/>
      <c r="D93" s="503"/>
      <c r="E93" s="532"/>
      <c r="F93" s="532"/>
      <c r="G93" s="532"/>
      <c r="H93" s="532"/>
      <c r="I93" s="532"/>
      <c r="J93" s="532"/>
      <c r="K93" s="533"/>
      <c r="L93" s="534"/>
      <c r="M93" s="535"/>
      <c r="N93" s="933"/>
      <c r="O93" s="933"/>
      <c r="P93" s="42"/>
      <c r="Q93" s="453"/>
    </row>
    <row r="94" spans="1:17" ht="14.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4.5" thickTop="1">
      <c r="A95" s="548"/>
      <c r="B95" s="487" t="s">
        <v>1740</v>
      </c>
      <c r="C95" s="503"/>
      <c r="D95" s="503"/>
      <c r="E95" s="503"/>
      <c r="F95" s="532"/>
      <c r="G95" s="532"/>
      <c r="H95" s="532"/>
      <c r="I95" s="532"/>
      <c r="J95" s="532"/>
      <c r="K95" s="533"/>
      <c r="L95" s="534"/>
      <c r="M95" s="535"/>
      <c r="N95" s="933"/>
      <c r="O95" s="933"/>
      <c r="P95" s="42"/>
      <c r="Q95" s="453"/>
    </row>
    <row r="96" spans="1:17" ht="14.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4.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4.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4.5" thickTop="1">
      <c r="A102" s="548"/>
      <c r="B102" s="487" t="s">
        <v>1742</v>
      </c>
      <c r="C102" s="503"/>
      <c r="D102" s="503"/>
      <c r="E102" s="503"/>
      <c r="F102" s="503"/>
      <c r="G102" s="503"/>
      <c r="H102" s="532"/>
      <c r="I102" s="532"/>
      <c r="J102" s="532"/>
      <c r="K102" s="533"/>
      <c r="L102" s="534"/>
      <c r="M102" s="535"/>
      <c r="N102" s="933"/>
      <c r="O102" s="933"/>
      <c r="P102" s="42"/>
      <c r="Q102" s="453"/>
    </row>
    <row r="103" spans="1:17" ht="14.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4.5" thickTop="1">
      <c r="A104" s="548"/>
      <c r="B104" s="487" t="s">
        <v>1744</v>
      </c>
      <c r="C104" s="503"/>
      <c r="D104" s="503"/>
      <c r="E104" s="503"/>
      <c r="F104" s="503"/>
      <c r="G104" s="503"/>
      <c r="H104" s="532"/>
      <c r="I104" s="532"/>
      <c r="J104" s="532"/>
      <c r="K104" s="533"/>
      <c r="L104" s="534"/>
      <c r="M104" s="535"/>
      <c r="N104" s="933"/>
      <c r="O104" s="933"/>
      <c r="P104" s="42"/>
      <c r="Q104" s="453"/>
    </row>
    <row r="105" spans="1:17" ht="14.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8.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5" thickBot="1">
      <c r="A109" s="502"/>
      <c r="B109" s="484"/>
      <c r="C109" s="509"/>
      <c r="D109" s="485"/>
      <c r="E109" s="485"/>
      <c r="F109" s="485"/>
      <c r="G109" s="509"/>
      <c r="H109" s="511"/>
      <c r="I109" s="511"/>
      <c r="J109" s="511"/>
      <c r="K109" s="511"/>
      <c r="L109" s="511"/>
      <c r="M109" s="512"/>
      <c r="N109" s="935"/>
      <c r="O109" s="935"/>
      <c r="P109" s="507"/>
      <c r="Q109" s="508"/>
    </row>
    <row r="110" spans="1:17" ht="14.5" thickTop="1">
      <c r="A110" s="548"/>
      <c r="B110" s="487">
        <f>B39</f>
        <v>111</v>
      </c>
      <c r="C110" s="503"/>
      <c r="D110" s="503"/>
      <c r="E110" s="503"/>
      <c r="F110" s="503"/>
      <c r="G110" s="503"/>
      <c r="H110" s="504"/>
      <c r="I110" s="504"/>
      <c r="J110" s="504"/>
      <c r="K110" s="504"/>
      <c r="L110" s="505"/>
      <c r="M110" s="506"/>
      <c r="N110" s="933"/>
      <c r="O110" s="933"/>
      <c r="P110" s="42"/>
      <c r="Q110" s="453"/>
    </row>
    <row r="111" spans="1:17" ht="14.5" thickBot="1">
      <c r="A111" s="483"/>
      <c r="B111" s="492"/>
      <c r="C111" s="509"/>
      <c r="D111" s="485"/>
      <c r="E111" s="485"/>
      <c r="F111" s="485"/>
      <c r="G111" s="509"/>
      <c r="H111" s="511"/>
      <c r="I111" s="511"/>
      <c r="J111" s="511"/>
      <c r="K111" s="511"/>
      <c r="L111" s="511"/>
      <c r="M111" s="512"/>
      <c r="N111" s="934"/>
      <c r="O111" s="934"/>
      <c r="P111" s="42"/>
      <c r="Q111" s="453"/>
    </row>
    <row r="112" spans="1:17" ht="14.5" thickTop="1">
      <c r="A112" s="548"/>
      <c r="B112" s="495">
        <f>B40</f>
        <v>111</v>
      </c>
      <c r="C112" s="472"/>
      <c r="D112" s="472"/>
      <c r="E112" s="472"/>
      <c r="F112" s="472"/>
      <c r="G112" s="536"/>
      <c r="H112" s="536"/>
      <c r="I112" s="536"/>
      <c r="J112" s="536"/>
      <c r="K112" s="472"/>
      <c r="L112" s="473"/>
      <c r="M112" s="539"/>
      <c r="N112" s="933"/>
      <c r="O112" s="933"/>
      <c r="P112" s="42"/>
      <c r="Q112" s="453"/>
    </row>
    <row r="113" spans="1:17" ht="14.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57" customWidth="1"/>
    <col min="2" max="2" width="15.7265625" style="357" customWidth="1"/>
    <col min="3" max="3" width="14.3632812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5.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906"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3" customFormat="1" ht="28.5" customHeight="1" thickBot="1">
      <c r="A1" s="1222" t="s">
        <v>1831</v>
      </c>
      <c r="B1" s="1223" t="s">
        <v>3338</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c r="A4" s="355" t="s">
        <v>1769</v>
      </c>
      <c r="B4" s="356"/>
      <c r="C4" s="3704" t="s">
        <v>1770</v>
      </c>
      <c r="D4" s="3705"/>
      <c r="E4" s="3706" t="s">
        <v>1771</v>
      </c>
      <c r="F4" s="3707"/>
      <c r="G4" s="3704" t="s">
        <v>1772</v>
      </c>
      <c r="H4" s="3705"/>
      <c r="I4" s="3704" t="s">
        <v>1773</v>
      </c>
      <c r="J4" s="3705"/>
      <c r="K4" s="559" t="s">
        <v>1774</v>
      </c>
      <c r="L4" s="2713"/>
      <c r="M4" s="2714"/>
      <c r="N4" s="2714"/>
      <c r="O4" s="2714"/>
      <c r="P4" s="3708" t="s">
        <v>1775</v>
      </c>
      <c r="Q4" s="3709"/>
      <c r="R4" s="3691" t="s">
        <v>1771</v>
      </c>
      <c r="S4" s="3692"/>
      <c r="T4" s="3691" t="s">
        <v>1772</v>
      </c>
      <c r="U4" s="3692"/>
      <c r="V4" s="3716" t="s">
        <v>1773</v>
      </c>
      <c r="W4" s="3716"/>
      <c r="X4" s="1355"/>
      <c r="Y4" s="3691" t="s">
        <v>1775</v>
      </c>
      <c r="Z4" s="3692"/>
      <c r="AA4" s="3686" t="s">
        <v>1771</v>
      </c>
      <c r="AB4" s="3687" t="s">
        <v>1772</v>
      </c>
      <c r="AC4" s="3686" t="s">
        <v>1773</v>
      </c>
    </row>
    <row r="5" spans="1:29">
      <c r="A5" s="358"/>
      <c r="B5" s="359"/>
      <c r="C5" s="3697" t="s">
        <v>1673</v>
      </c>
      <c r="D5" s="3698"/>
      <c r="E5" s="3733" t="s">
        <v>1674</v>
      </c>
      <c r="F5" s="3696"/>
      <c r="G5" s="3697" t="s">
        <v>1675</v>
      </c>
      <c r="H5" s="3698"/>
      <c r="I5" s="3697" t="s">
        <v>1676</v>
      </c>
      <c r="J5" s="3698"/>
      <c r="K5" s="559"/>
      <c r="L5" s="2713"/>
      <c r="M5" s="2714"/>
      <c r="N5" s="2714"/>
      <c r="O5" s="2714"/>
      <c r="P5" s="3710"/>
      <c r="Q5" s="3711"/>
      <c r="R5" s="3693"/>
      <c r="S5" s="3694"/>
      <c r="T5" s="3693"/>
      <c r="U5" s="3694"/>
      <c r="V5" s="3716"/>
      <c r="W5" s="3716"/>
      <c r="X5" s="1355"/>
      <c r="Y5" s="3693"/>
      <c r="Z5" s="3694"/>
      <c r="AA5" s="3687"/>
      <c r="AB5" s="3687"/>
      <c r="AC5" s="3687"/>
    </row>
    <row r="6" spans="1:29" ht="15" thickBot="1">
      <c r="A6" s="360"/>
      <c r="B6" s="361"/>
      <c r="C6" s="3699" t="s">
        <v>1677</v>
      </c>
      <c r="D6" s="3700"/>
      <c r="E6" s="3701" t="s">
        <v>1677</v>
      </c>
      <c r="F6" s="3702"/>
      <c r="G6" s="3699" t="s">
        <v>1677</v>
      </c>
      <c r="H6" s="3700"/>
      <c r="I6" s="3699" t="s">
        <v>1677</v>
      </c>
      <c r="J6" s="3700"/>
      <c r="K6" s="559" t="s">
        <v>1678</v>
      </c>
      <c r="L6" s="2713"/>
      <c r="M6" s="2714"/>
      <c r="N6" s="2714"/>
      <c r="O6" s="2714"/>
      <c r="P6" s="3712"/>
      <c r="Q6" s="3713"/>
      <c r="R6" s="3693"/>
      <c r="S6" s="3694"/>
      <c r="T6" s="3714"/>
      <c r="U6" s="3715"/>
      <c r="V6" s="3716"/>
      <c r="W6" s="3716"/>
      <c r="X6" s="1355"/>
      <c r="Y6" s="3714"/>
      <c r="Z6" s="3715"/>
      <c r="AA6" s="3688"/>
      <c r="AB6" s="3688"/>
      <c r="AC6" s="3688"/>
    </row>
    <row r="7" spans="1:29" s="108" customFormat="1" ht="14.5" thickBot="1">
      <c r="A7" s="362" t="s">
        <v>1679</v>
      </c>
      <c r="B7" s="363"/>
      <c r="C7" s="364">
        <f>'数据-取费表'!B2</f>
        <v>45072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9" t="s">
        <v>1680</v>
      </c>
      <c r="Q7" s="3718"/>
      <c r="R7" s="701" t="s">
        <v>14</v>
      </c>
      <c r="S7" s="702">
        <f t="shared" ref="S7:S14" si="0">F7</f>
        <v>0</v>
      </c>
      <c r="T7" s="701" t="s">
        <v>14</v>
      </c>
      <c r="U7" s="702">
        <f t="shared" ref="U7:U14" si="1">H7</f>
        <v>0</v>
      </c>
      <c r="V7" s="701" t="s">
        <v>14</v>
      </c>
      <c r="W7" s="702">
        <f t="shared" ref="W7:W14" si="2">J7</f>
        <v>0</v>
      </c>
      <c r="X7" s="703"/>
      <c r="Y7" s="3689" t="s">
        <v>1680</v>
      </c>
      <c r="Z7" s="3690"/>
      <c r="AA7" s="704" t="e">
        <f>D7/F7</f>
        <v>#DIV/0!</v>
      </c>
      <c r="AB7" s="704" t="e">
        <f>D7/H7</f>
        <v>#DIV/0!</v>
      </c>
      <c r="AC7" s="704" t="e">
        <f>D7/J7</f>
        <v>#DIV/0!</v>
      </c>
    </row>
    <row r="8" spans="1:29" s="108" customFormat="1" ht="14.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9" t="s">
        <v>1683</v>
      </c>
      <c r="Q8" s="3690"/>
      <c r="R8" s="701" t="s">
        <v>14</v>
      </c>
      <c r="S8" s="702">
        <f t="shared" si="0"/>
        <v>100</v>
      </c>
      <c r="T8" s="701" t="s">
        <v>14</v>
      </c>
      <c r="U8" s="702">
        <f t="shared" si="1"/>
        <v>100</v>
      </c>
      <c r="V8" s="701" t="s">
        <v>14</v>
      </c>
      <c r="W8" s="702">
        <f t="shared" si="2"/>
        <v>100</v>
      </c>
      <c r="X8" s="703"/>
      <c r="Y8" s="3689" t="s">
        <v>1683</v>
      </c>
      <c r="Z8" s="369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2"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2"/>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2"/>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2"/>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2"/>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98">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5">
      <c r="A15" s="358"/>
      <c r="B15" s="595"/>
      <c r="C15" s="398"/>
      <c r="D15" s="399"/>
      <c r="E15" s="398"/>
      <c r="F15" s="400"/>
      <c r="G15" s="398"/>
      <c r="H15" s="401"/>
      <c r="I15" s="398"/>
      <c r="J15" s="399"/>
      <c r="K15" s="564"/>
      <c r="L15" s="2720"/>
      <c r="M15" s="2714"/>
      <c r="N15" s="2714"/>
      <c r="O15" s="2714"/>
      <c r="P15" s="3725"/>
      <c r="Q15" s="1352"/>
      <c r="R15" s="705"/>
      <c r="S15" s="706"/>
      <c r="T15" s="705"/>
      <c r="U15" s="706"/>
      <c r="V15" s="705"/>
      <c r="W15" s="706"/>
      <c r="X15" s="1355"/>
      <c r="Y15" s="3725"/>
      <c r="Z15" s="1356"/>
      <c r="AA15" s="1353">
        <v>1</v>
      </c>
      <c r="AB15" s="1353">
        <v>1</v>
      </c>
      <c r="AC15" s="1353">
        <v>1</v>
      </c>
    </row>
    <row r="16" spans="1:29" ht="42">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5">
      <c r="A17" s="358"/>
      <c r="B17" s="580"/>
      <c r="C17" s="1901"/>
      <c r="D17" s="399"/>
      <c r="E17" s="398"/>
      <c r="F17" s="400"/>
      <c r="G17" s="398"/>
      <c r="H17" s="399"/>
      <c r="I17" s="398"/>
      <c r="J17" s="399"/>
      <c r="K17" s="564"/>
      <c r="L17" s="2720"/>
      <c r="M17" s="2714"/>
      <c r="N17" s="2714"/>
      <c r="O17" s="2714"/>
      <c r="P17" s="3725"/>
      <c r="Q17" s="1352"/>
      <c r="R17" s="705"/>
      <c r="S17" s="706"/>
      <c r="T17" s="705"/>
      <c r="U17" s="706"/>
      <c r="V17" s="705"/>
      <c r="W17" s="706"/>
      <c r="X17" s="1355"/>
      <c r="Y17" s="3725"/>
      <c r="Z17" s="1356"/>
      <c r="AA17" s="1353">
        <v>1</v>
      </c>
      <c r="AB17" s="1353">
        <v>1</v>
      </c>
      <c r="AC17" s="1353">
        <v>1</v>
      </c>
    </row>
    <row r="18" spans="1:29" ht="42">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5">
      <c r="A19" s="358"/>
      <c r="B19" s="581"/>
      <c r="C19" s="1901"/>
      <c r="D19" s="401"/>
      <c r="E19" s="1901"/>
      <c r="F19" s="404"/>
      <c r="G19" s="1901"/>
      <c r="H19" s="399"/>
      <c r="I19" s="398"/>
      <c r="J19" s="399"/>
      <c r="K19" s="1130"/>
      <c r="L19" s="2720"/>
      <c r="M19" s="2714"/>
      <c r="N19" s="2714"/>
      <c r="O19" s="2714"/>
      <c r="P19" s="3725"/>
      <c r="Q19" s="1352"/>
      <c r="R19" s="705"/>
      <c r="S19" s="706"/>
      <c r="T19" s="705"/>
      <c r="U19" s="706"/>
      <c r="V19" s="705"/>
      <c r="W19" s="706"/>
      <c r="X19" s="1355"/>
      <c r="Y19" s="3725"/>
      <c r="Z19" s="1356"/>
      <c r="AA19" s="1353">
        <v>1</v>
      </c>
      <c r="AB19" s="1353">
        <v>1</v>
      </c>
      <c r="AC19" s="1353">
        <v>1</v>
      </c>
    </row>
    <row r="20" spans="1:29" ht="56">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5">
      <c r="A21" s="358"/>
      <c r="B21" s="580"/>
      <c r="C21" s="398"/>
      <c r="D21" s="399"/>
      <c r="E21" s="398"/>
      <c r="F21" s="400"/>
      <c r="G21" s="398"/>
      <c r="H21" s="399"/>
      <c r="I21" s="398"/>
      <c r="J21" s="399"/>
      <c r="K21" s="564"/>
      <c r="L21" s="2720"/>
      <c r="M21" s="2714"/>
      <c r="N21" s="2714"/>
      <c r="O21" s="2714"/>
      <c r="P21" s="3725"/>
      <c r="Q21" s="1352"/>
      <c r="R21" s="705"/>
      <c r="S21" s="706"/>
      <c r="T21" s="705"/>
      <c r="U21" s="706"/>
      <c r="V21" s="705"/>
      <c r="W21" s="706"/>
      <c r="X21" s="1355"/>
      <c r="Y21" s="3725"/>
      <c r="Z21" s="1356"/>
      <c r="AA21" s="1353">
        <v>1</v>
      </c>
      <c r="AB21" s="1353">
        <v>1</v>
      </c>
      <c r="AC21" s="1353">
        <v>1</v>
      </c>
    </row>
    <row r="22" spans="1:29" ht="15.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5"/>
      <c r="Q24" s="1352">
        <f t="shared" ref="Q24:Q36"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9">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9" t="s">
        <v>1696</v>
      </c>
      <c r="Z26" s="1356" t="str">
        <f t="shared" ref="Z26:Z36" si="15">Q26</f>
        <v>配套类型</v>
      </c>
      <c r="AA26" s="1353" t="e">
        <f t="shared" si="3"/>
        <v>#DIV/0!</v>
      </c>
      <c r="AB26" s="1353" t="e">
        <f t="shared" si="4"/>
        <v>#DIV/0!</v>
      </c>
      <c r="AC26" s="1353" t="e">
        <f t="shared" si="5"/>
        <v>#DIV/0!</v>
      </c>
    </row>
    <row r="27" spans="1:29" s="422" customFormat="1" ht="15.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9"/>
      <c r="Q27" s="707" t="str">
        <f t="shared" si="11"/>
        <v>项目停车位配比</v>
      </c>
      <c r="R27" s="708" t="s">
        <v>14</v>
      </c>
      <c r="S27" s="709">
        <f t="shared" si="12"/>
        <v>100</v>
      </c>
      <c r="T27" s="708" t="s">
        <v>14</v>
      </c>
      <c r="U27" s="709">
        <f t="shared" si="13"/>
        <v>100</v>
      </c>
      <c r="V27" s="708" t="s">
        <v>14</v>
      </c>
      <c r="W27" s="709">
        <f t="shared" si="14"/>
        <v>100</v>
      </c>
      <c r="X27" s="710"/>
      <c r="Y27" s="3729"/>
      <c r="Z27" s="711" t="str">
        <f t="shared" si="15"/>
        <v>项目停车位配比</v>
      </c>
      <c r="AA27" s="1353">
        <f t="shared" si="3"/>
        <v>1</v>
      </c>
      <c r="AB27" s="1353">
        <f t="shared" si="4"/>
        <v>1</v>
      </c>
      <c r="AC27" s="1353">
        <f t="shared" si="5"/>
        <v>1</v>
      </c>
    </row>
    <row r="28" spans="1:29" ht="15.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9"/>
      <c r="Q28" s="1352" t="str">
        <f t="shared" si="11"/>
        <v>公共部分装修</v>
      </c>
      <c r="R28" s="705" t="s">
        <v>14</v>
      </c>
      <c r="S28" s="706">
        <f t="shared" si="12"/>
        <v>100</v>
      </c>
      <c r="T28" s="705" t="s">
        <v>14</v>
      </c>
      <c r="U28" s="706">
        <f t="shared" si="13"/>
        <v>100</v>
      </c>
      <c r="V28" s="705" t="s">
        <v>14</v>
      </c>
      <c r="W28" s="706">
        <f t="shared" si="14"/>
        <v>100</v>
      </c>
      <c r="X28" s="1355"/>
      <c r="Y28" s="3729"/>
      <c r="Z28" s="1356" t="str">
        <f t="shared" si="15"/>
        <v>公共部分装修</v>
      </c>
      <c r="AA28" s="1353">
        <f t="shared" si="3"/>
        <v>1</v>
      </c>
      <c r="AB28" s="1353">
        <f t="shared" si="4"/>
        <v>1</v>
      </c>
      <c r="AC28" s="1353">
        <f t="shared" si="5"/>
        <v>1</v>
      </c>
    </row>
    <row r="29" spans="1:29" ht="15.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9"/>
      <c r="Q29" s="1352" t="str">
        <f t="shared" si="11"/>
        <v>成新率</v>
      </c>
      <c r="R29" s="705" t="s">
        <v>14</v>
      </c>
      <c r="S29" s="706" t="e">
        <f t="shared" si="12"/>
        <v>#N/A</v>
      </c>
      <c r="T29" s="705" t="s">
        <v>14</v>
      </c>
      <c r="U29" s="706" t="e">
        <f t="shared" si="13"/>
        <v>#N/A</v>
      </c>
      <c r="V29" s="705" t="s">
        <v>14</v>
      </c>
      <c r="W29" s="706" t="e">
        <f t="shared" si="14"/>
        <v>#N/A</v>
      </c>
      <c r="X29" s="1355"/>
      <c r="Y29" s="3729"/>
      <c r="Z29" s="1356" t="str">
        <f t="shared" si="15"/>
        <v>成新率</v>
      </c>
      <c r="AA29" s="1353" t="e">
        <f t="shared" si="3"/>
        <v>#N/A</v>
      </c>
      <c r="AB29" s="1353" t="e">
        <f t="shared" si="4"/>
        <v>#N/A</v>
      </c>
      <c r="AC29" s="1353" t="e">
        <f t="shared" si="5"/>
        <v>#N/A</v>
      </c>
    </row>
    <row r="30" spans="1:29" ht="15.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9"/>
      <c r="Q30" s="1352" t="str">
        <f t="shared" si="11"/>
        <v>物业等级</v>
      </c>
      <c r="R30" s="705" t="s">
        <v>14</v>
      </c>
      <c r="S30" s="706">
        <f t="shared" si="12"/>
        <v>100</v>
      </c>
      <c r="T30" s="705" t="s">
        <v>14</v>
      </c>
      <c r="U30" s="706">
        <f t="shared" si="13"/>
        <v>100</v>
      </c>
      <c r="V30" s="705" t="s">
        <v>14</v>
      </c>
      <c r="W30" s="706">
        <f t="shared" si="14"/>
        <v>100</v>
      </c>
      <c r="X30" s="1355"/>
      <c r="Y30" s="3729"/>
      <c r="Z30" s="1356" t="str">
        <f t="shared" si="15"/>
        <v>物业等级</v>
      </c>
      <c r="AA30" s="1353">
        <f t="shared" si="3"/>
        <v>1</v>
      </c>
      <c r="AB30" s="1353">
        <f t="shared" si="4"/>
        <v>1</v>
      </c>
      <c r="AC30" s="1353">
        <f t="shared" si="5"/>
        <v>1</v>
      </c>
    </row>
    <row r="31" spans="1:29" s="108" customFormat="1" ht="15.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9"/>
      <c r="Q31" s="1343" t="str">
        <f t="shared" si="11"/>
        <v>停车位面积</v>
      </c>
      <c r="R31" s="701" t="s">
        <v>14</v>
      </c>
      <c r="S31" s="702" t="e">
        <f t="shared" si="12"/>
        <v>#N/A</v>
      </c>
      <c r="T31" s="701" t="s">
        <v>14</v>
      </c>
      <c r="U31" s="702" t="e">
        <f t="shared" si="13"/>
        <v>#N/A</v>
      </c>
      <c r="V31" s="701" t="s">
        <v>14</v>
      </c>
      <c r="W31" s="702" t="e">
        <f t="shared" si="14"/>
        <v>#N/A</v>
      </c>
      <c r="X31" s="703"/>
      <c r="Y31" s="3729"/>
      <c r="Z31" s="52" t="str">
        <f t="shared" si="15"/>
        <v>停车位面积</v>
      </c>
      <c r="AA31" s="704" t="e">
        <f t="shared" si="3"/>
        <v>#N/A</v>
      </c>
      <c r="AB31" s="704" t="e">
        <f t="shared" si="4"/>
        <v>#N/A</v>
      </c>
      <c r="AC31" s="704" t="e">
        <f t="shared" si="5"/>
        <v>#N/A</v>
      </c>
    </row>
    <row r="32" spans="1:29" ht="15.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9" t="s">
        <v>1696</v>
      </c>
      <c r="Q32" s="1352" t="str">
        <f t="shared" si="11"/>
        <v>车位类型</v>
      </c>
      <c r="R32" s="705" t="s">
        <v>14</v>
      </c>
      <c r="S32" s="706">
        <f t="shared" si="12"/>
        <v>100</v>
      </c>
      <c r="T32" s="705" t="s">
        <v>14</v>
      </c>
      <c r="U32" s="706">
        <f t="shared" si="13"/>
        <v>100</v>
      </c>
      <c r="V32" s="705" t="s">
        <v>14</v>
      </c>
      <c r="W32" s="706">
        <f t="shared" si="14"/>
        <v>100</v>
      </c>
      <c r="X32" s="1355"/>
      <c r="Y32" s="3729" t="s">
        <v>1696</v>
      </c>
      <c r="Z32" s="1356" t="str">
        <f t="shared" si="15"/>
        <v>车位类型</v>
      </c>
      <c r="AA32" s="1353">
        <f t="shared" si="3"/>
        <v>1</v>
      </c>
      <c r="AB32" s="1353">
        <f t="shared" si="4"/>
        <v>1</v>
      </c>
      <c r="AC32" s="1353">
        <f t="shared" si="5"/>
        <v>1</v>
      </c>
    </row>
    <row r="33" spans="1:29" ht="15.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9"/>
      <c r="Q33" s="1352" t="str">
        <f t="shared" si="11"/>
        <v>是否直接入户</v>
      </c>
      <c r="R33" s="705" t="s">
        <v>14</v>
      </c>
      <c r="S33" s="706">
        <f t="shared" si="12"/>
        <v>100</v>
      </c>
      <c r="T33" s="705" t="s">
        <v>14</v>
      </c>
      <c r="U33" s="706">
        <f t="shared" si="13"/>
        <v>100</v>
      </c>
      <c r="V33" s="705" t="s">
        <v>14</v>
      </c>
      <c r="W33" s="706">
        <f t="shared" si="14"/>
        <v>100</v>
      </c>
      <c r="X33" s="1355"/>
      <c r="Y33" s="3729"/>
      <c r="Z33" s="1356" t="str">
        <f t="shared" si="15"/>
        <v>是否直接入户</v>
      </c>
      <c r="AA33" s="1353">
        <f t="shared" si="3"/>
        <v>1</v>
      </c>
      <c r="AB33" s="1353">
        <f t="shared" si="4"/>
        <v>1</v>
      </c>
      <c r="AC33" s="1353">
        <f t="shared" si="5"/>
        <v>1</v>
      </c>
    </row>
    <row r="34" spans="1:29" ht="15.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29" s="422" customFormat="1" ht="15.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9"/>
      <c r="Q35" s="707">
        <f t="shared" si="11"/>
        <v>111</v>
      </c>
      <c r="R35" s="708" t="s">
        <v>14</v>
      </c>
      <c r="S35" s="709">
        <f t="shared" si="12"/>
        <v>100</v>
      </c>
      <c r="T35" s="708" t="s">
        <v>14</v>
      </c>
      <c r="U35" s="709">
        <f t="shared" si="13"/>
        <v>100</v>
      </c>
      <c r="V35" s="708" t="s">
        <v>14</v>
      </c>
      <c r="W35" s="709">
        <f t="shared" si="14"/>
        <v>100</v>
      </c>
      <c r="X35" s="710"/>
      <c r="Y35" s="3729"/>
      <c r="Z35" s="711">
        <f t="shared" si="15"/>
        <v>111</v>
      </c>
      <c r="AA35" s="1353">
        <f t="shared" si="3"/>
        <v>1</v>
      </c>
      <c r="AB35" s="1353">
        <f t="shared" si="4"/>
        <v>1</v>
      </c>
      <c r="AC35" s="1353">
        <f t="shared" si="5"/>
        <v>1</v>
      </c>
    </row>
    <row r="36" spans="1:29" ht="1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9"/>
      <c r="Q36" s="1352">
        <f t="shared" si="11"/>
        <v>111</v>
      </c>
      <c r="R36" s="705" t="s">
        <v>14</v>
      </c>
      <c r="S36" s="706">
        <f t="shared" si="12"/>
        <v>100</v>
      </c>
      <c r="T36" s="705" t="s">
        <v>14</v>
      </c>
      <c r="U36" s="706">
        <f t="shared" si="13"/>
        <v>100</v>
      </c>
      <c r="V36" s="705" t="s">
        <v>14</v>
      </c>
      <c r="W36" s="706">
        <f t="shared" si="14"/>
        <v>100</v>
      </c>
      <c r="X36" s="1355"/>
      <c r="Y36" s="3729"/>
      <c r="Z36" s="1356">
        <f t="shared" si="15"/>
        <v>111</v>
      </c>
      <c r="AA36" s="1353">
        <f t="shared" si="3"/>
        <v>1</v>
      </c>
      <c r="AB36" s="1353">
        <f t="shared" si="4"/>
        <v>1</v>
      </c>
      <c r="AC36" s="1353">
        <f t="shared" si="5"/>
        <v>1</v>
      </c>
    </row>
    <row r="37" spans="1:29">
      <c r="A37" s="430" t="s">
        <v>1844</v>
      </c>
      <c r="B37" s="1972" t="s">
        <v>3359</v>
      </c>
      <c r="C37" s="1154" t="s">
        <v>0</v>
      </c>
      <c r="D37" s="1155"/>
      <c r="E37" s="1156"/>
      <c r="F37" s="1157"/>
      <c r="G37" s="1158"/>
      <c r="H37" s="1159"/>
      <c r="I37" s="1156"/>
      <c r="J37" s="1159"/>
      <c r="K37" s="568"/>
      <c r="L37" s="2722"/>
      <c r="M37" s="2723"/>
      <c r="N37" s="2714"/>
      <c r="O37" s="2723"/>
      <c r="P37" s="3722" t="str">
        <f>A37</f>
        <v>成交单价</v>
      </c>
      <c r="Q37" s="3722"/>
      <c r="R37" s="3723">
        <f>E37</f>
        <v>0</v>
      </c>
      <c r="S37" s="3723"/>
      <c r="T37" s="3723">
        <f>G37</f>
        <v>0</v>
      </c>
      <c r="U37" s="3723"/>
      <c r="V37" s="3723">
        <f>I37</f>
        <v>0</v>
      </c>
      <c r="W37" s="3723"/>
      <c r="X37" s="690"/>
      <c r="Y37" s="712"/>
      <c r="Z37" s="690"/>
      <c r="AA37" s="690"/>
      <c r="AB37" s="690"/>
      <c r="AC37" s="690"/>
    </row>
    <row r="38" spans="1:29" ht="14.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90"/>
      <c r="Y38" s="690"/>
      <c r="Z38" s="690"/>
      <c r="AA38" s="690"/>
      <c r="AB38" s="690"/>
      <c r="AC38" s="690"/>
    </row>
    <row r="39" spans="1:29" ht="14.5" thickBot="1">
      <c r="A39" s="441" t="s">
        <v>1846</v>
      </c>
      <c r="B39" s="442"/>
      <c r="C39" s="1163" t="e">
        <f>R39</f>
        <v>#DIV/0!</v>
      </c>
      <c r="D39" s="1163"/>
      <c r="E39" s="1163"/>
      <c r="F39" s="1163"/>
      <c r="G39" s="1163"/>
      <c r="H39" s="1163"/>
      <c r="I39" s="1163"/>
      <c r="J39" s="1163"/>
      <c r="K39" s="569"/>
      <c r="L39" s="2722"/>
      <c r="M39" s="2723"/>
      <c r="N39" s="2723"/>
      <c r="O39" s="2723"/>
      <c r="P39" s="3719" t="str">
        <f>A39</f>
        <v>估价对象XX用房的比较价值（楼面单价，元/平方米）</v>
      </c>
      <c r="Q39" s="3720"/>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4.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8.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4.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4.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4.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4.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4.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8.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4.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4.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4.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4.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4.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4.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4.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57" customWidth="1"/>
    <col min="2" max="2" width="15.7265625" style="357" customWidth="1"/>
    <col min="3" max="3" width="14.3632812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357"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1233" customFormat="1" ht="28.5" customHeight="1" thickBot="1">
      <c r="A1" s="1222" t="s">
        <v>1831</v>
      </c>
      <c r="B1" s="1223" t="s">
        <v>3339</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c r="A4" s="355" t="s">
        <v>1769</v>
      </c>
      <c r="B4" s="356"/>
      <c r="C4" s="3704" t="s">
        <v>1770</v>
      </c>
      <c r="D4" s="3705"/>
      <c r="E4" s="3706" t="s">
        <v>1771</v>
      </c>
      <c r="F4" s="3707"/>
      <c r="G4" s="3704" t="s">
        <v>1772</v>
      </c>
      <c r="H4" s="3705"/>
      <c r="I4" s="3704" t="s">
        <v>1773</v>
      </c>
      <c r="J4" s="3705"/>
      <c r="K4" s="559" t="s">
        <v>1774</v>
      </c>
      <c r="L4" s="2713"/>
      <c r="M4" s="2714"/>
      <c r="N4" s="2714"/>
      <c r="O4" s="2714"/>
      <c r="P4" s="3708" t="s">
        <v>1775</v>
      </c>
      <c r="Q4" s="3709"/>
      <c r="R4" s="3691" t="s">
        <v>1771</v>
      </c>
      <c r="S4" s="3692"/>
      <c r="T4" s="3691" t="s">
        <v>1772</v>
      </c>
      <c r="U4" s="3692"/>
      <c r="V4" s="3716" t="s">
        <v>1773</v>
      </c>
      <c r="W4" s="3716"/>
      <c r="X4" s="1355"/>
      <c r="Y4" s="3691" t="s">
        <v>1775</v>
      </c>
      <c r="Z4" s="3692"/>
      <c r="AA4" s="3686" t="s">
        <v>1771</v>
      </c>
      <c r="AB4" s="3687" t="s">
        <v>1772</v>
      </c>
      <c r="AC4" s="3686" t="s">
        <v>1773</v>
      </c>
    </row>
    <row r="5" spans="1:29">
      <c r="A5" s="358"/>
      <c r="B5" s="359"/>
      <c r="C5" s="3697" t="s">
        <v>1673</v>
      </c>
      <c r="D5" s="3698"/>
      <c r="E5" s="3733" t="s">
        <v>1674</v>
      </c>
      <c r="F5" s="3696"/>
      <c r="G5" s="3697" t="s">
        <v>1675</v>
      </c>
      <c r="H5" s="3698"/>
      <c r="I5" s="3697" t="s">
        <v>1676</v>
      </c>
      <c r="J5" s="3698"/>
      <c r="K5" s="559"/>
      <c r="L5" s="2713"/>
      <c r="M5" s="2714"/>
      <c r="N5" s="2714"/>
      <c r="O5" s="2714"/>
      <c r="P5" s="3710"/>
      <c r="Q5" s="3711"/>
      <c r="R5" s="3693"/>
      <c r="S5" s="3694"/>
      <c r="T5" s="3693"/>
      <c r="U5" s="3694"/>
      <c r="V5" s="3716"/>
      <c r="W5" s="3716"/>
      <c r="X5" s="1355"/>
      <c r="Y5" s="3693"/>
      <c r="Z5" s="3694"/>
      <c r="AA5" s="3687"/>
      <c r="AB5" s="3687"/>
      <c r="AC5" s="3687"/>
    </row>
    <row r="6" spans="1:29" ht="15" thickBot="1">
      <c r="A6" s="360"/>
      <c r="B6" s="361"/>
      <c r="C6" s="3699" t="s">
        <v>1677</v>
      </c>
      <c r="D6" s="3700"/>
      <c r="E6" s="3701" t="s">
        <v>1677</v>
      </c>
      <c r="F6" s="3702"/>
      <c r="G6" s="3699" t="s">
        <v>1677</v>
      </c>
      <c r="H6" s="3700"/>
      <c r="I6" s="3699" t="s">
        <v>1677</v>
      </c>
      <c r="J6" s="3700"/>
      <c r="K6" s="559" t="s">
        <v>1678</v>
      </c>
      <c r="L6" s="2713"/>
      <c r="M6" s="2714"/>
      <c r="N6" s="2714"/>
      <c r="O6" s="2714"/>
      <c r="P6" s="3712"/>
      <c r="Q6" s="3713"/>
      <c r="R6" s="3693"/>
      <c r="S6" s="3694"/>
      <c r="T6" s="3714"/>
      <c r="U6" s="3715"/>
      <c r="V6" s="3716"/>
      <c r="W6" s="3716"/>
      <c r="X6" s="1355"/>
      <c r="Y6" s="3714"/>
      <c r="Z6" s="3715"/>
      <c r="AA6" s="3688"/>
      <c r="AB6" s="3688"/>
      <c r="AC6" s="3688"/>
    </row>
    <row r="7" spans="1:29" s="108" customFormat="1" ht="14.5" thickBot="1">
      <c r="A7" s="362" t="s">
        <v>1679</v>
      </c>
      <c r="B7" s="363"/>
      <c r="C7" s="364">
        <f>'数据-取费表'!B2</f>
        <v>45072</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89" t="s">
        <v>1680</v>
      </c>
      <c r="Q7" s="3718"/>
      <c r="R7" s="701" t="s">
        <v>14</v>
      </c>
      <c r="S7" s="702">
        <f t="shared" ref="S7:S14" si="0">F7</f>
        <v>0</v>
      </c>
      <c r="T7" s="701" t="s">
        <v>14</v>
      </c>
      <c r="U7" s="702">
        <f t="shared" ref="U7:U14" si="1">H7</f>
        <v>0</v>
      </c>
      <c r="V7" s="701" t="s">
        <v>14</v>
      </c>
      <c r="W7" s="702">
        <f t="shared" ref="W7:W14" si="2">J7</f>
        <v>0</v>
      </c>
      <c r="X7" s="703"/>
      <c r="Y7" s="3689" t="s">
        <v>1680</v>
      </c>
      <c r="Z7" s="3690"/>
      <c r="AA7" s="704" t="e">
        <f>D7/F7</f>
        <v>#DIV/0!</v>
      </c>
      <c r="AB7" s="704" t="e">
        <f>D7/H7</f>
        <v>#DIV/0!</v>
      </c>
      <c r="AC7" s="704" t="e">
        <f>D7/J7</f>
        <v>#DIV/0!</v>
      </c>
    </row>
    <row r="8" spans="1:29" s="108" customFormat="1" ht="14.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9" t="s">
        <v>1683</v>
      </c>
      <c r="Q8" s="3690"/>
      <c r="R8" s="701" t="s">
        <v>14</v>
      </c>
      <c r="S8" s="702">
        <f t="shared" si="0"/>
        <v>100</v>
      </c>
      <c r="T8" s="701" t="s">
        <v>14</v>
      </c>
      <c r="U8" s="702">
        <f t="shared" si="1"/>
        <v>100</v>
      </c>
      <c r="V8" s="701" t="s">
        <v>14</v>
      </c>
      <c r="W8" s="702">
        <f t="shared" si="2"/>
        <v>100</v>
      </c>
      <c r="X8" s="703"/>
      <c r="Y8" s="3689" t="s">
        <v>1683</v>
      </c>
      <c r="Z8" s="369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2"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2"/>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2"/>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2"/>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22"/>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98">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5">
      <c r="A15" s="379"/>
      <c r="B15" s="397"/>
      <c r="C15" s="398"/>
      <c r="D15" s="399"/>
      <c r="E15" s="398"/>
      <c r="F15" s="400"/>
      <c r="G15" s="398"/>
      <c r="H15" s="401"/>
      <c r="I15" s="398"/>
      <c r="J15" s="399"/>
      <c r="K15" s="564"/>
      <c r="L15" s="2720"/>
      <c r="M15" s="2714"/>
      <c r="N15" s="2714"/>
      <c r="O15" s="2772"/>
      <c r="P15" s="3725"/>
      <c r="Q15" s="1352"/>
      <c r="R15" s="705"/>
      <c r="S15" s="706"/>
      <c r="T15" s="705"/>
      <c r="U15" s="706"/>
      <c r="V15" s="705"/>
      <c r="W15" s="706"/>
      <c r="X15" s="1355"/>
      <c r="Y15" s="3725"/>
      <c r="Z15" s="1356"/>
      <c r="AA15" s="1353">
        <v>1</v>
      </c>
      <c r="AB15" s="1353">
        <v>1</v>
      </c>
      <c r="AC15" s="1353">
        <v>1</v>
      </c>
    </row>
    <row r="16" spans="1:29" ht="42">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5">
      <c r="A17" s="379"/>
      <c r="B17" s="407"/>
      <c r="C17" s="1901"/>
      <c r="D17" s="399"/>
      <c r="E17" s="398"/>
      <c r="F17" s="400"/>
      <c r="G17" s="398"/>
      <c r="H17" s="399"/>
      <c r="I17" s="398"/>
      <c r="J17" s="399"/>
      <c r="K17" s="564"/>
      <c r="L17" s="2720"/>
      <c r="M17" s="2714"/>
      <c r="N17" s="2714"/>
      <c r="O17" s="2772"/>
      <c r="P17" s="3725"/>
      <c r="Q17" s="1352"/>
      <c r="R17" s="705"/>
      <c r="S17" s="706"/>
      <c r="T17" s="705"/>
      <c r="U17" s="706"/>
      <c r="V17" s="705"/>
      <c r="W17" s="706"/>
      <c r="X17" s="1355"/>
      <c r="Y17" s="3725"/>
      <c r="Z17" s="1356"/>
      <c r="AA17" s="1353">
        <v>1</v>
      </c>
      <c r="AB17" s="1353">
        <v>1</v>
      </c>
      <c r="AC17" s="1353">
        <v>1</v>
      </c>
    </row>
    <row r="18" spans="1:29" ht="42">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5">
      <c r="A19" s="379"/>
      <c r="B19" s="1131"/>
      <c r="C19" s="1901"/>
      <c r="D19" s="401"/>
      <c r="E19" s="1901"/>
      <c r="F19" s="404"/>
      <c r="G19" s="1901"/>
      <c r="H19" s="399"/>
      <c r="I19" s="398"/>
      <c r="J19" s="399"/>
      <c r="K19" s="1130"/>
      <c r="L19" s="2720"/>
      <c r="M19" s="2714"/>
      <c r="N19" s="2714"/>
      <c r="O19" s="2772"/>
      <c r="P19" s="3725"/>
      <c r="Q19" s="1352"/>
      <c r="R19" s="705"/>
      <c r="S19" s="706"/>
      <c r="T19" s="705"/>
      <c r="U19" s="706"/>
      <c r="V19" s="705"/>
      <c r="W19" s="706"/>
      <c r="X19" s="1355"/>
      <c r="Y19" s="3725"/>
      <c r="Z19" s="1356"/>
      <c r="AA19" s="1353">
        <v>1</v>
      </c>
      <c r="AB19" s="1353">
        <v>1</v>
      </c>
      <c r="AC19" s="1353">
        <v>1</v>
      </c>
    </row>
    <row r="20" spans="1:29" ht="56">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5">
      <c r="A21" s="379"/>
      <c r="B21" s="407"/>
      <c r="C21" s="398"/>
      <c r="D21" s="399"/>
      <c r="E21" s="398"/>
      <c r="F21" s="400"/>
      <c r="G21" s="398"/>
      <c r="H21" s="399"/>
      <c r="I21" s="398"/>
      <c r="J21" s="399"/>
      <c r="K21" s="564"/>
      <c r="L21" s="2720"/>
      <c r="M21" s="2714"/>
      <c r="N21" s="2714"/>
      <c r="O21" s="2772"/>
      <c r="P21" s="3725"/>
      <c r="Q21" s="1352"/>
      <c r="R21" s="705"/>
      <c r="S21" s="706"/>
      <c r="T21" s="705"/>
      <c r="U21" s="706"/>
      <c r="V21" s="705"/>
      <c r="W21" s="706"/>
      <c r="X21" s="1355"/>
      <c r="Y21" s="3725"/>
      <c r="Z21" s="1356"/>
      <c r="AA21" s="1353">
        <v>1</v>
      </c>
      <c r="AB21" s="1353">
        <v>1</v>
      </c>
      <c r="AC21" s="1353">
        <v>1</v>
      </c>
    </row>
    <row r="22" spans="1:29" ht="15.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5"/>
      <c r="Q24" s="1352">
        <f t="shared" ref="Q24:Q34"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9">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4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9" t="s">
        <v>1696</v>
      </c>
      <c r="Z26" s="1356" t="str">
        <f t="shared" ref="Z26:Z34" si="15">Q26</f>
        <v>公共部分装修</v>
      </c>
      <c r="AA26" s="1353">
        <f t="shared" si="3"/>
        <v>1</v>
      </c>
      <c r="AB26" s="1353">
        <f t="shared" si="4"/>
        <v>1</v>
      </c>
      <c r="AC26" s="1353">
        <f t="shared" si="5"/>
        <v>1</v>
      </c>
    </row>
    <row r="27" spans="1:29" s="422" customFormat="1" ht="15.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9"/>
      <c r="Q27" s="707" t="str">
        <f t="shared" si="11"/>
        <v>成新率</v>
      </c>
      <c r="R27" s="708" t="s">
        <v>14</v>
      </c>
      <c r="S27" s="709" t="e">
        <f t="shared" si="12"/>
        <v>#N/A</v>
      </c>
      <c r="T27" s="708" t="s">
        <v>14</v>
      </c>
      <c r="U27" s="709" t="e">
        <f t="shared" si="13"/>
        <v>#N/A</v>
      </c>
      <c r="V27" s="708" t="s">
        <v>14</v>
      </c>
      <c r="W27" s="709" t="e">
        <f t="shared" si="14"/>
        <v>#N/A</v>
      </c>
      <c r="X27" s="710"/>
      <c r="Y27" s="3729"/>
      <c r="Z27" s="711" t="str">
        <f t="shared" si="15"/>
        <v>成新率</v>
      </c>
      <c r="AA27" s="1353" t="e">
        <f t="shared" si="3"/>
        <v>#N/A</v>
      </c>
      <c r="AB27" s="1353" t="e">
        <f t="shared" si="4"/>
        <v>#N/A</v>
      </c>
      <c r="AC27" s="1353" t="e">
        <f t="shared" si="5"/>
        <v>#N/A</v>
      </c>
    </row>
    <row r="28" spans="1:29" ht="15.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9"/>
      <c r="Q28" s="1352" t="str">
        <f t="shared" si="11"/>
        <v>物业等级</v>
      </c>
      <c r="R28" s="705" t="s">
        <v>14</v>
      </c>
      <c r="S28" s="706">
        <f t="shared" si="12"/>
        <v>100</v>
      </c>
      <c r="T28" s="705" t="s">
        <v>14</v>
      </c>
      <c r="U28" s="706">
        <f t="shared" si="13"/>
        <v>100</v>
      </c>
      <c r="V28" s="705" t="s">
        <v>14</v>
      </c>
      <c r="W28" s="706">
        <f t="shared" si="14"/>
        <v>100</v>
      </c>
      <c r="X28" s="1355"/>
      <c r="Y28" s="3729"/>
      <c r="Z28" s="1356" t="str">
        <f t="shared" si="15"/>
        <v>物业等级</v>
      </c>
      <c r="AA28" s="1353">
        <f t="shared" si="3"/>
        <v>1</v>
      </c>
      <c r="AB28" s="1353">
        <f t="shared" si="4"/>
        <v>1</v>
      </c>
      <c r="AC28" s="1353">
        <f t="shared" si="5"/>
        <v>1</v>
      </c>
    </row>
    <row r="29" spans="1:29" ht="15.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9"/>
      <c r="Q29" s="1352" t="str">
        <f t="shared" si="11"/>
        <v>有无电梯</v>
      </c>
      <c r="R29" s="705" t="s">
        <v>14</v>
      </c>
      <c r="S29" s="706">
        <f t="shared" si="12"/>
        <v>100</v>
      </c>
      <c r="T29" s="705" t="s">
        <v>14</v>
      </c>
      <c r="U29" s="706">
        <f t="shared" si="13"/>
        <v>100</v>
      </c>
      <c r="V29" s="705" t="s">
        <v>14</v>
      </c>
      <c r="W29" s="706">
        <f t="shared" si="14"/>
        <v>100</v>
      </c>
      <c r="X29" s="1355"/>
      <c r="Y29" s="3729"/>
      <c r="Z29" s="1356" t="str">
        <f t="shared" si="15"/>
        <v>有无电梯</v>
      </c>
      <c r="AA29" s="1353">
        <f t="shared" si="3"/>
        <v>1</v>
      </c>
      <c r="AB29" s="1353">
        <f t="shared" si="4"/>
        <v>1</v>
      </c>
      <c r="AC29" s="1353">
        <f t="shared" si="5"/>
        <v>1</v>
      </c>
    </row>
    <row r="30" spans="1:29" ht="15.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9"/>
      <c r="Q30" s="1352" t="str">
        <f t="shared" si="11"/>
        <v>建筑面积</v>
      </c>
      <c r="R30" s="705" t="s">
        <v>14</v>
      </c>
      <c r="S30" s="706" t="e">
        <f t="shared" si="12"/>
        <v>#N/A</v>
      </c>
      <c r="T30" s="705" t="s">
        <v>14</v>
      </c>
      <c r="U30" s="706" t="e">
        <f t="shared" si="13"/>
        <v>#N/A</v>
      </c>
      <c r="V30" s="705" t="s">
        <v>14</v>
      </c>
      <c r="W30" s="706" t="e">
        <f t="shared" si="14"/>
        <v>#N/A</v>
      </c>
      <c r="X30" s="1355"/>
      <c r="Y30" s="3729"/>
      <c r="Z30" s="1356" t="str">
        <f t="shared" si="15"/>
        <v>建筑面积</v>
      </c>
      <c r="AA30" s="1353" t="e">
        <f t="shared" si="3"/>
        <v>#N/A</v>
      </c>
      <c r="AB30" s="1353" t="e">
        <f t="shared" si="4"/>
        <v>#N/A</v>
      </c>
      <c r="AC30" s="1353" t="e">
        <f t="shared" si="5"/>
        <v>#N/A</v>
      </c>
    </row>
    <row r="31" spans="1:29" s="108" customFormat="1" ht="15.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9"/>
      <c r="Q31" s="1343" t="str">
        <f t="shared" si="11"/>
        <v>是否封闭</v>
      </c>
      <c r="R31" s="701" t="s">
        <v>14</v>
      </c>
      <c r="S31" s="702">
        <f t="shared" si="12"/>
        <v>100</v>
      </c>
      <c r="T31" s="701" t="s">
        <v>14</v>
      </c>
      <c r="U31" s="702">
        <f t="shared" si="13"/>
        <v>100</v>
      </c>
      <c r="V31" s="701" t="s">
        <v>14</v>
      </c>
      <c r="W31" s="702">
        <f t="shared" si="14"/>
        <v>100</v>
      </c>
      <c r="X31" s="703"/>
      <c r="Y31" s="3729"/>
      <c r="Z31" s="52" t="str">
        <f t="shared" si="15"/>
        <v>是否封闭</v>
      </c>
      <c r="AA31" s="704">
        <f t="shared" si="3"/>
        <v>1</v>
      </c>
      <c r="AB31" s="704">
        <f t="shared" si="4"/>
        <v>1</v>
      </c>
      <c r="AC31" s="704">
        <f t="shared" si="5"/>
        <v>1</v>
      </c>
    </row>
    <row r="32" spans="1:29" ht="15.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9" t="s">
        <v>1696</v>
      </c>
      <c r="Q32" s="1352">
        <f t="shared" si="11"/>
        <v>111</v>
      </c>
      <c r="R32" s="705" t="s">
        <v>14</v>
      </c>
      <c r="S32" s="706">
        <f t="shared" si="12"/>
        <v>100</v>
      </c>
      <c r="T32" s="705" t="s">
        <v>14</v>
      </c>
      <c r="U32" s="706">
        <f t="shared" si="13"/>
        <v>100</v>
      </c>
      <c r="V32" s="705" t="s">
        <v>14</v>
      </c>
      <c r="W32" s="706">
        <f t="shared" si="14"/>
        <v>100</v>
      </c>
      <c r="X32" s="1355"/>
      <c r="Y32" s="3729" t="s">
        <v>1696</v>
      </c>
      <c r="Z32" s="1356">
        <f t="shared" si="15"/>
        <v>111</v>
      </c>
      <c r="AA32" s="1353">
        <f t="shared" si="3"/>
        <v>1</v>
      </c>
      <c r="AB32" s="1353">
        <f t="shared" si="4"/>
        <v>1</v>
      </c>
      <c r="AC32" s="1353">
        <f t="shared" si="5"/>
        <v>1</v>
      </c>
    </row>
    <row r="33" spans="1:30" ht="15.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9"/>
      <c r="Q33" s="1352">
        <f t="shared" si="11"/>
        <v>111</v>
      </c>
      <c r="R33" s="705" t="s">
        <v>14</v>
      </c>
      <c r="S33" s="706">
        <f t="shared" si="12"/>
        <v>100</v>
      </c>
      <c r="T33" s="705" t="s">
        <v>14</v>
      </c>
      <c r="U33" s="706">
        <f t="shared" si="13"/>
        <v>100</v>
      </c>
      <c r="V33" s="705" t="s">
        <v>14</v>
      </c>
      <c r="W33" s="706">
        <f t="shared" si="14"/>
        <v>100</v>
      </c>
      <c r="X33" s="1355"/>
      <c r="Y33" s="3729"/>
      <c r="Z33" s="1356">
        <f t="shared" si="15"/>
        <v>111</v>
      </c>
      <c r="AA33" s="1353">
        <f t="shared" si="3"/>
        <v>1</v>
      </c>
      <c r="AB33" s="1353">
        <f t="shared" si="4"/>
        <v>1</v>
      </c>
      <c r="AC33" s="1353">
        <f t="shared" si="5"/>
        <v>1</v>
      </c>
    </row>
    <row r="34" spans="1:30" ht="1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30">
      <c r="A35" s="430" t="s">
        <v>1708</v>
      </c>
      <c r="B35" s="431"/>
      <c r="C35" s="1154" t="s">
        <v>0</v>
      </c>
      <c r="D35" s="1155"/>
      <c r="E35" s="1156"/>
      <c r="F35" s="1157"/>
      <c r="G35" s="1158"/>
      <c r="H35" s="1159"/>
      <c r="I35" s="1156"/>
      <c r="J35" s="1159"/>
      <c r="K35" s="714"/>
      <c r="L35" s="2722"/>
      <c r="M35" s="2723"/>
      <c r="N35" s="2714"/>
      <c r="O35" s="2723"/>
      <c r="P35" s="3722" t="str">
        <f>A35</f>
        <v>成交单价（元/平方米）</v>
      </c>
      <c r="Q35" s="3722"/>
      <c r="R35" s="3723">
        <f>E35</f>
        <v>0</v>
      </c>
      <c r="S35" s="3723"/>
      <c r="T35" s="3723">
        <f>G35</f>
        <v>0</v>
      </c>
      <c r="U35" s="3723"/>
      <c r="V35" s="3723">
        <f>I35</f>
        <v>0</v>
      </c>
      <c r="W35" s="3723"/>
      <c r="X35" s="690"/>
      <c r="Y35" s="712"/>
      <c r="Z35" s="690"/>
      <c r="AA35" s="690"/>
      <c r="AB35" s="690"/>
      <c r="AC35" s="690"/>
    </row>
    <row r="36" spans="1:30" ht="14.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90"/>
      <c r="Y36" s="690"/>
      <c r="Z36" s="690"/>
      <c r="AA36" s="690"/>
      <c r="AB36" s="690"/>
      <c r="AC36" s="690"/>
    </row>
    <row r="37" spans="1:30" ht="14.5" thickBot="1">
      <c r="A37" s="441" t="s">
        <v>1794</v>
      </c>
      <c r="B37" s="442"/>
      <c r="C37" s="1163" t="e">
        <f>R37</f>
        <v>#DIV/0!</v>
      </c>
      <c r="D37" s="1163"/>
      <c r="E37" s="1163"/>
      <c r="F37" s="1163"/>
      <c r="G37" s="1163"/>
      <c r="H37" s="1163"/>
      <c r="I37" s="1163"/>
      <c r="J37" s="1163"/>
      <c r="K37" s="715"/>
      <c r="L37" s="2722"/>
      <c r="M37" s="2723"/>
      <c r="N37" s="2723"/>
      <c r="O37" s="2723"/>
      <c r="P37" s="3719" t="str">
        <f>A37</f>
        <v>估价对象XX用房的比较价值（楼面单价，元/平方米）</v>
      </c>
      <c r="Q37" s="3720"/>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4.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8.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4.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8.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4.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4.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4.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4.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4.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4.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4.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4.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4.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477" customWidth="1"/>
    <col min="2" max="16384" width="9" style="1477"/>
  </cols>
  <sheetData>
    <row r="1" spans="1:1" ht="23">
      <c r="A1" s="1476" t="s">
        <v>898</v>
      </c>
    </row>
    <row r="2" spans="1:1">
      <c r="A2" s="1478"/>
    </row>
    <row r="3" spans="1:1" ht="18">
      <c r="A3" s="1479" t="str">
        <f>项目基本情况!B5&amp;"："</f>
        <v>：</v>
      </c>
    </row>
    <row r="4" spans="1:1" ht="17.5">
      <c r="A4" s="1480" t="str">
        <f>"受贵公司委托，我公司对"&amp;项目基本情况!S1&amp;"进行了预评估。"</f>
        <v>受贵公司委托，我公司对北京市房地产市场价值进行了预评估。</v>
      </c>
    </row>
    <row r="5" spans="1:1" ht="18">
      <c r="A5" s="1481" t="s">
        <v>899</v>
      </c>
    </row>
    <row r="6" spans="1:1" ht="17.5">
      <c r="A6" s="1482" t="s">
        <v>900</v>
      </c>
    </row>
    <row r="7" spans="1:1" ht="52.5">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估价对象为北京市房地产，为所有。根据《国有土地使用证》[]，估价对象（分摊）出让国有建设用地使用权面积为0平方米，建筑面积为142.19平方米。</v>
      </c>
    </row>
    <row r="8" spans="1:1" ht="53.5">
      <c r="A8" s="1483" t="s">
        <v>901</v>
      </c>
    </row>
    <row r="9" spans="1:1" ht="17.5">
      <c r="A9" s="1482" t="s">
        <v>902</v>
      </c>
    </row>
    <row r="10" spans="1:1" ht="52.5">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估价对象为北京市房地产,属开发建设的，该项目尚在开发建设中。根据《国有土地使用证》[]，估价对象（分摊）出让国有建设用地使用权面积为0平方米，规划建筑面积为142.19平方米。</v>
      </c>
    </row>
    <row r="11" spans="1:1" ht="71">
      <c r="A11" s="1483" t="s">
        <v>903</v>
      </c>
    </row>
    <row r="12" spans="1:1" ht="18">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
      <c r="A14" s="1485" t="s">
        <v>905</v>
      </c>
    </row>
    <row r="15" spans="1:1" ht="17.5">
      <c r="A15" s="1486" t="str">
        <f>TEXT(项目基本情况!D3,"yyyy年m月d日;;")&amp;IF(项目基本情况!D3=项目基本情况!B3,"（评估专业人员实地查勘之日）","")</f>
        <v>2023年5月26日（评估专业人员实地查勘之日）</v>
      </c>
    </row>
    <row r="16" spans="1:1" ht="18">
      <c r="A16" s="1485" t="s">
        <v>906</v>
      </c>
    </row>
    <row r="17" spans="1:1" ht="70">
      <c r="A17" s="1480" t="s">
        <v>907</v>
      </c>
    </row>
    <row r="18" spans="1:1" ht="70">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480" t="str">
        <f>IF(项目基本情况!B9="房地产市场价值","——",IF(项目基本情况!E8="房地产抵押价值",定义!C54,IF(项目基本情况!E8="已注销",定义!C55,定义!C56)))</f>
        <v>——</v>
      </c>
    </row>
    <row r="21" spans="1:1" ht="17.5">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480" t="str">
        <f>IF(项目基本情况!B9="房地产市场价值","——",IF(项目基本情况!E9="——","",定义!C57))</f>
        <v>——</v>
      </c>
    </row>
    <row r="23" spans="1:1" ht="18">
      <c r="A23" s="1485" t="s">
        <v>896</v>
      </c>
    </row>
    <row r="24" spans="1:1" ht="17.5">
      <c r="A24" s="1487" t="str">
        <f>"本次评估采用的主估价方法为"&amp;结果表!K4&amp;"和"&amp;结果表!L4&amp;"。"</f>
        <v>本次评估采用的主估价方法为比较法和成本法。</v>
      </c>
    </row>
    <row r="25" spans="1:1" ht="17.5">
      <c r="A25" s="1487"/>
    </row>
    <row r="26" spans="1:1" ht="1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6328125" style="357" customWidth="1"/>
    <col min="2" max="2" width="15.7265625" style="357" customWidth="1"/>
    <col min="3" max="3" width="14.36328125" style="357" customWidth="1"/>
    <col min="4" max="4" width="14.0898437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357"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c r="A4" s="355" t="s">
        <v>1769</v>
      </c>
      <c r="B4" s="356"/>
      <c r="C4" s="3704" t="s">
        <v>1770</v>
      </c>
      <c r="D4" s="3705"/>
      <c r="E4" s="3706" t="s">
        <v>1771</v>
      </c>
      <c r="F4" s="3707"/>
      <c r="G4" s="3704" t="s">
        <v>1772</v>
      </c>
      <c r="H4" s="3705"/>
      <c r="I4" s="3704" t="s">
        <v>1773</v>
      </c>
      <c r="J4" s="3705"/>
      <c r="K4" s="559" t="s">
        <v>1774</v>
      </c>
      <c r="L4" s="2713"/>
      <c r="M4" s="2714"/>
      <c r="N4" s="2714"/>
      <c r="O4" s="2714"/>
      <c r="P4" s="3708" t="s">
        <v>1775</v>
      </c>
      <c r="Q4" s="3709"/>
      <c r="R4" s="3691" t="s">
        <v>1771</v>
      </c>
      <c r="S4" s="3692"/>
      <c r="T4" s="3691" t="s">
        <v>1772</v>
      </c>
      <c r="U4" s="3692"/>
      <c r="V4" s="3716" t="s">
        <v>1773</v>
      </c>
      <c r="W4" s="3716"/>
      <c r="X4" s="1355"/>
      <c r="Y4" s="3691" t="s">
        <v>1775</v>
      </c>
      <c r="Z4" s="3692"/>
      <c r="AA4" s="3686" t="s">
        <v>1771</v>
      </c>
      <c r="AB4" s="3687" t="s">
        <v>1772</v>
      </c>
      <c r="AC4" s="3686" t="s">
        <v>1773</v>
      </c>
    </row>
    <row r="5" spans="1:30">
      <c r="A5" s="358"/>
      <c r="B5" s="359"/>
      <c r="C5" s="3697" t="s">
        <v>1673</v>
      </c>
      <c r="D5" s="3698"/>
      <c r="E5" s="3733" t="s">
        <v>1674</v>
      </c>
      <c r="F5" s="3696"/>
      <c r="G5" s="3697" t="s">
        <v>1675</v>
      </c>
      <c r="H5" s="3698"/>
      <c r="I5" s="3697" t="s">
        <v>1676</v>
      </c>
      <c r="J5" s="3698"/>
      <c r="K5" s="559"/>
      <c r="L5" s="2713"/>
      <c r="M5" s="2714"/>
      <c r="N5" s="2714"/>
      <c r="O5" s="2714"/>
      <c r="P5" s="3710"/>
      <c r="Q5" s="3711"/>
      <c r="R5" s="3693"/>
      <c r="S5" s="3694"/>
      <c r="T5" s="3693"/>
      <c r="U5" s="3694"/>
      <c r="V5" s="3716"/>
      <c r="W5" s="3716"/>
      <c r="X5" s="1355"/>
      <c r="Y5" s="3693"/>
      <c r="Z5" s="3694"/>
      <c r="AA5" s="3687"/>
      <c r="AB5" s="3687"/>
      <c r="AC5" s="3687"/>
    </row>
    <row r="6" spans="1:30" ht="15" thickBot="1">
      <c r="A6" s="360"/>
      <c r="B6" s="361"/>
      <c r="C6" s="3699" t="s">
        <v>1677</v>
      </c>
      <c r="D6" s="3700"/>
      <c r="E6" s="3701" t="s">
        <v>1677</v>
      </c>
      <c r="F6" s="3702"/>
      <c r="G6" s="3699" t="s">
        <v>1677</v>
      </c>
      <c r="H6" s="3700"/>
      <c r="I6" s="3699" t="s">
        <v>1677</v>
      </c>
      <c r="J6" s="3700"/>
      <c r="K6" s="559" t="s">
        <v>1678</v>
      </c>
      <c r="L6" s="2713"/>
      <c r="M6" s="2714"/>
      <c r="N6" s="2714"/>
      <c r="O6" s="2714"/>
      <c r="P6" s="3712"/>
      <c r="Q6" s="3713"/>
      <c r="R6" s="3693"/>
      <c r="S6" s="3694"/>
      <c r="T6" s="3714"/>
      <c r="U6" s="3715"/>
      <c r="V6" s="3716"/>
      <c r="W6" s="3716"/>
      <c r="X6" s="1355"/>
      <c r="Y6" s="3714"/>
      <c r="Z6" s="3715"/>
      <c r="AA6" s="3688"/>
      <c r="AB6" s="3688"/>
      <c r="AC6" s="3688"/>
    </row>
    <row r="7" spans="1:30" s="108" customFormat="1" ht="14.5" thickBot="1">
      <c r="A7" s="362" t="s">
        <v>1679</v>
      </c>
      <c r="B7" s="363"/>
      <c r="C7" s="364">
        <f>'数据-取费表'!B2</f>
        <v>45072</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89" t="s">
        <v>1680</v>
      </c>
      <c r="Q7" s="3718"/>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30" s="108" customFormat="1" ht="14.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9" t="s">
        <v>1683</v>
      </c>
      <c r="Q8" s="3690"/>
      <c r="R8" s="701" t="s">
        <v>14</v>
      </c>
      <c r="S8" s="702">
        <f t="shared" si="0"/>
        <v>0</v>
      </c>
      <c r="T8" s="701" t="s">
        <v>14</v>
      </c>
      <c r="U8" s="702">
        <f t="shared" si="1"/>
        <v>0</v>
      </c>
      <c r="V8" s="701" t="s">
        <v>14</v>
      </c>
      <c r="W8" s="702">
        <f t="shared" si="2"/>
        <v>0</v>
      </c>
      <c r="X8" s="703"/>
      <c r="Y8" s="3689" t="s">
        <v>1683</v>
      </c>
      <c r="Z8" s="3690"/>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22"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30" s="378" customFormat="1" ht="28">
      <c r="A10" s="374"/>
      <c r="B10" s="375" t="s">
        <v>1688</v>
      </c>
      <c r="C10" s="383"/>
      <c r="D10" s="127">
        <v>100</v>
      </c>
      <c r="E10" s="416"/>
      <c r="F10" s="127">
        <f>ROUND(100/'数据-取费表'!G16,0)</f>
        <v>113</v>
      </c>
      <c r="G10" s="414"/>
      <c r="H10" s="127">
        <f>ROUND(100/'数据-取费表'!G16,0)</f>
        <v>113</v>
      </c>
      <c r="I10" s="414"/>
      <c r="J10" s="127">
        <f>ROUND(100/'数据-取费表'!G16,0)</f>
        <v>113</v>
      </c>
      <c r="K10" s="620"/>
      <c r="L10" s="2717"/>
      <c r="M10" s="2718"/>
      <c r="N10" s="2718"/>
      <c r="O10" s="2771"/>
      <c r="P10" s="3722"/>
      <c r="Q10" s="1343" t="str">
        <f t="shared" si="6"/>
        <v>土地使用年限（年）</v>
      </c>
      <c r="R10" s="701" t="s">
        <v>14</v>
      </c>
      <c r="S10" s="702">
        <f t="shared" si="0"/>
        <v>113</v>
      </c>
      <c r="T10" s="701" t="s">
        <v>14</v>
      </c>
      <c r="U10" s="702">
        <f t="shared" si="1"/>
        <v>113</v>
      </c>
      <c r="V10" s="701" t="s">
        <v>14</v>
      </c>
      <c r="W10" s="702">
        <f t="shared" si="2"/>
        <v>113</v>
      </c>
      <c r="X10" s="703"/>
      <c r="Y10" s="3633"/>
      <c r="Z10" s="52" t="str">
        <f t="shared" si="7"/>
        <v>土地使用年限（年）</v>
      </c>
      <c r="AA10" s="704">
        <f t="shared" si="3"/>
        <v>0.88495575221238942</v>
      </c>
      <c r="AB10" s="704">
        <f t="shared" si="4"/>
        <v>0.88495575221238942</v>
      </c>
      <c r="AC10" s="704">
        <f t="shared" si="5"/>
        <v>0.88495575221238942</v>
      </c>
    </row>
    <row r="11" spans="1:30" ht="15.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2"/>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30" s="108" customFormat="1" ht="15.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2"/>
      <c r="Q12" s="1343"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2"/>
      <c r="Q13" s="1343">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2"/>
      <c r="Q14" s="1343">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98">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4" t="s">
        <v>1691</v>
      </c>
      <c r="Q15" s="1352" t="str">
        <f t="shared" si="6"/>
        <v>居住社区成熟度</v>
      </c>
      <c r="R15" s="705" t="s">
        <v>14</v>
      </c>
      <c r="S15" s="706">
        <f t="shared" si="0"/>
        <v>100</v>
      </c>
      <c r="T15" s="705" t="s">
        <v>14</v>
      </c>
      <c r="U15" s="706">
        <f t="shared" si="1"/>
        <v>100</v>
      </c>
      <c r="V15" s="705" t="s">
        <v>14</v>
      </c>
      <c r="W15" s="706">
        <f t="shared" si="2"/>
        <v>100</v>
      </c>
      <c r="X15" s="1355"/>
      <c r="Y15" s="3724" t="s">
        <v>1691</v>
      </c>
      <c r="Z15" s="1356" t="str">
        <f t="shared" si="7"/>
        <v>居住社区成熟度</v>
      </c>
      <c r="AA15" s="1353">
        <f t="shared" si="3"/>
        <v>1</v>
      </c>
      <c r="AB15" s="1353">
        <f t="shared" si="4"/>
        <v>1</v>
      </c>
      <c r="AC15" s="1353">
        <f t="shared" si="5"/>
        <v>1</v>
      </c>
    </row>
    <row r="16" spans="1:30" ht="15.5">
      <c r="A16" s="379"/>
      <c r="B16" s="397"/>
      <c r="C16" s="398"/>
      <c r="D16" s="399"/>
      <c r="E16" s="1898"/>
      <c r="F16" s="399"/>
      <c r="G16" s="1898"/>
      <c r="H16" s="401"/>
      <c r="I16" s="1897"/>
      <c r="J16" s="399"/>
      <c r="K16" s="620"/>
      <c r="L16" s="2720"/>
      <c r="M16" s="2714"/>
      <c r="N16" s="2714"/>
      <c r="O16" s="2772"/>
      <c r="P16" s="3725"/>
      <c r="Q16" s="1352"/>
      <c r="R16" s="705"/>
      <c r="S16" s="706"/>
      <c r="T16" s="705"/>
      <c r="U16" s="706"/>
      <c r="V16" s="705"/>
      <c r="W16" s="706"/>
      <c r="X16" s="1355"/>
      <c r="Y16" s="3725"/>
      <c r="Z16" s="1356"/>
      <c r="AA16" s="1353">
        <v>1</v>
      </c>
      <c r="AB16" s="1353">
        <v>1</v>
      </c>
      <c r="AC16" s="1353">
        <v>1</v>
      </c>
    </row>
    <row r="17" spans="1:29" ht="84">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5"/>
      <c r="Q17" s="1352" t="str">
        <f>B17</f>
        <v>商业繁华度</v>
      </c>
      <c r="R17" s="705" t="s">
        <v>14</v>
      </c>
      <c r="S17" s="706">
        <f>F17</f>
        <v>100</v>
      </c>
      <c r="T17" s="705" t="s">
        <v>14</v>
      </c>
      <c r="U17" s="706">
        <f>H17</f>
        <v>100</v>
      </c>
      <c r="V17" s="705" t="s">
        <v>14</v>
      </c>
      <c r="W17" s="706">
        <f>J17</f>
        <v>100</v>
      </c>
      <c r="X17" s="1355"/>
      <c r="Y17" s="3725"/>
      <c r="Z17" s="1356" t="str">
        <f>Q17</f>
        <v>商业繁华度</v>
      </c>
      <c r="AA17" s="1353">
        <f t="shared" si="3"/>
        <v>1</v>
      </c>
      <c r="AB17" s="1353">
        <f t="shared" si="4"/>
        <v>1</v>
      </c>
      <c r="AC17" s="1353">
        <f t="shared" si="5"/>
        <v>1</v>
      </c>
    </row>
    <row r="18" spans="1:29" ht="15.5">
      <c r="A18" s="379"/>
      <c r="B18" s="407"/>
      <c r="C18" s="1901"/>
      <c r="D18" s="401"/>
      <c r="E18" s="1903"/>
      <c r="F18" s="401"/>
      <c r="G18" s="1903"/>
      <c r="H18" s="399"/>
      <c r="I18" s="1902"/>
      <c r="J18" s="399"/>
      <c r="K18" s="620"/>
      <c r="L18" s="2720"/>
      <c r="M18" s="2714"/>
      <c r="N18" s="2714"/>
      <c r="O18" s="2772"/>
      <c r="P18" s="3725"/>
      <c r="Q18" s="1352"/>
      <c r="R18" s="705"/>
      <c r="S18" s="706"/>
      <c r="T18" s="705"/>
      <c r="U18" s="706"/>
      <c r="V18" s="705"/>
      <c r="W18" s="706"/>
      <c r="X18" s="1355"/>
      <c r="Y18" s="3725"/>
      <c r="Z18" s="1356"/>
      <c r="AA18" s="1353">
        <v>1</v>
      </c>
      <c r="AB18" s="1353">
        <v>1</v>
      </c>
      <c r="AC18" s="1353">
        <v>1</v>
      </c>
    </row>
    <row r="19" spans="1:29" ht="84">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5"/>
      <c r="Q19" s="1352" t="str">
        <f>B19</f>
        <v>办公集聚程度</v>
      </c>
      <c r="R19" s="705" t="s">
        <v>14</v>
      </c>
      <c r="S19" s="706">
        <f>F19</f>
        <v>100</v>
      </c>
      <c r="T19" s="705" t="s">
        <v>14</v>
      </c>
      <c r="U19" s="706">
        <f>H19</f>
        <v>100</v>
      </c>
      <c r="V19" s="705" t="s">
        <v>14</v>
      </c>
      <c r="W19" s="706">
        <f>J19</f>
        <v>100</v>
      </c>
      <c r="X19" s="1355"/>
      <c r="Y19" s="3725"/>
      <c r="Z19" s="1356" t="str">
        <f>Q19</f>
        <v>办公集聚程度</v>
      </c>
      <c r="AA19" s="1353">
        <f t="shared" si="3"/>
        <v>1</v>
      </c>
      <c r="AB19" s="1353">
        <f t="shared" si="4"/>
        <v>1</v>
      </c>
      <c r="AC19" s="1353">
        <f t="shared" si="5"/>
        <v>1</v>
      </c>
    </row>
    <row r="20" spans="1:29" ht="15.5">
      <c r="A20" s="379"/>
      <c r="B20" s="407"/>
      <c r="C20" s="398"/>
      <c r="D20" s="399"/>
      <c r="E20" s="1898"/>
      <c r="F20" s="399"/>
      <c r="G20" s="1898"/>
      <c r="H20" s="399"/>
      <c r="I20" s="1897"/>
      <c r="J20" s="399"/>
      <c r="K20" s="620"/>
      <c r="L20" s="2720"/>
      <c r="M20" s="2714"/>
      <c r="N20" s="2714"/>
      <c r="O20" s="2772"/>
      <c r="P20" s="3725"/>
      <c r="Q20" s="1352"/>
      <c r="R20" s="705"/>
      <c r="S20" s="706"/>
      <c r="T20" s="705"/>
      <c r="U20" s="706"/>
      <c r="V20" s="705"/>
      <c r="W20" s="706"/>
      <c r="X20" s="1355"/>
      <c r="Y20" s="3725"/>
      <c r="Z20" s="1356"/>
      <c r="AA20" s="1353">
        <v>1</v>
      </c>
      <c r="AB20" s="1353">
        <v>1</v>
      </c>
      <c r="AC20" s="1353">
        <v>1</v>
      </c>
    </row>
    <row r="21" spans="1:29" ht="98">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5"/>
      <c r="Q21" s="1352" t="str">
        <f>B21</f>
        <v>交通便捷度</v>
      </c>
      <c r="R21" s="705" t="s">
        <v>14</v>
      </c>
      <c r="S21" s="706">
        <f>F21</f>
        <v>100</v>
      </c>
      <c r="T21" s="705" t="s">
        <v>14</v>
      </c>
      <c r="U21" s="706">
        <f>H21</f>
        <v>100</v>
      </c>
      <c r="V21" s="705" t="s">
        <v>14</v>
      </c>
      <c r="W21" s="706">
        <f>J21</f>
        <v>100</v>
      </c>
      <c r="X21" s="1355"/>
      <c r="Y21" s="3725"/>
      <c r="Z21" s="1356" t="str">
        <f>Q21</f>
        <v>交通便捷度</v>
      </c>
      <c r="AA21" s="1353">
        <f t="shared" si="3"/>
        <v>1</v>
      </c>
      <c r="AB21" s="1353">
        <f t="shared" si="4"/>
        <v>1</v>
      </c>
      <c r="AC21" s="1353">
        <f t="shared" si="5"/>
        <v>1</v>
      </c>
    </row>
    <row r="22" spans="1:29" ht="15.5">
      <c r="A22" s="379"/>
      <c r="B22" s="1131"/>
      <c r="C22" s="398"/>
      <c r="D22" s="401"/>
      <c r="E22" s="1898"/>
      <c r="F22" s="399"/>
      <c r="G22" s="1898"/>
      <c r="H22" s="399"/>
      <c r="I22" s="1897"/>
      <c r="J22" s="399"/>
      <c r="K22" s="620"/>
      <c r="L22" s="2720"/>
      <c r="M22" s="2714"/>
      <c r="N22" s="2714"/>
      <c r="O22" s="2772"/>
      <c r="P22" s="3725"/>
      <c r="Q22" s="1352"/>
      <c r="R22" s="705"/>
      <c r="S22" s="706"/>
      <c r="T22" s="705"/>
      <c r="U22" s="706"/>
      <c r="V22" s="705"/>
      <c r="W22" s="706"/>
      <c r="X22" s="1355"/>
      <c r="Y22" s="3725"/>
      <c r="Z22" s="1356"/>
      <c r="AA22" s="1353">
        <v>1</v>
      </c>
      <c r="AB22" s="1353">
        <v>1</v>
      </c>
      <c r="AC22" s="1353">
        <v>1</v>
      </c>
    </row>
    <row r="23" spans="1:29" ht="2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5"/>
      <c r="Q23" s="1352" t="str">
        <f t="shared" ref="Q23:Q37" si="8">B23</f>
        <v>区域土地利用方向</v>
      </c>
      <c r="R23" s="705" t="s">
        <v>14</v>
      </c>
      <c r="S23" s="706">
        <f>F23</f>
        <v>100</v>
      </c>
      <c r="T23" s="705" t="s">
        <v>14</v>
      </c>
      <c r="U23" s="706">
        <f>H23</f>
        <v>100</v>
      </c>
      <c r="V23" s="705" t="s">
        <v>14</v>
      </c>
      <c r="W23" s="706">
        <f>J23</f>
        <v>100</v>
      </c>
      <c r="X23" s="1355"/>
      <c r="Y23" s="3725"/>
      <c r="Z23" s="1356" t="str">
        <f>Q23</f>
        <v>区域土地利用方向</v>
      </c>
      <c r="AA23" s="1353">
        <f t="shared" si="3"/>
        <v>1</v>
      </c>
      <c r="AB23" s="1353">
        <f t="shared" si="4"/>
        <v>1</v>
      </c>
      <c r="AC23" s="1353">
        <f t="shared" si="5"/>
        <v>1</v>
      </c>
    </row>
    <row r="24" spans="1:29" ht="15.5">
      <c r="A24" s="358"/>
      <c r="B24" s="407"/>
      <c r="C24" s="565"/>
      <c r="D24" s="399"/>
      <c r="E24" s="1898"/>
      <c r="F24" s="399"/>
      <c r="G24" s="1897"/>
      <c r="H24" s="399"/>
      <c r="I24" s="1897"/>
      <c r="J24" s="399"/>
      <c r="K24" s="740"/>
      <c r="L24" s="2720"/>
      <c r="M24" s="2714"/>
      <c r="N24" s="2714"/>
      <c r="O24" s="2772"/>
      <c r="P24" s="3725"/>
      <c r="Q24" s="1352"/>
      <c r="R24" s="705"/>
      <c r="S24" s="706"/>
      <c r="T24" s="705"/>
      <c r="U24" s="706"/>
      <c r="V24" s="705"/>
      <c r="W24" s="706"/>
      <c r="X24" s="1355"/>
      <c r="Y24" s="3725"/>
      <c r="Z24" s="1356"/>
      <c r="AA24" s="1353"/>
      <c r="AB24" s="1353"/>
      <c r="AC24" s="1353"/>
    </row>
    <row r="25" spans="1:29" ht="56">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5"/>
      <c r="Q25" s="1352" t="str">
        <f t="shared" si="8"/>
        <v>自然及人文环境状况</v>
      </c>
      <c r="R25" s="705" t="s">
        <v>14</v>
      </c>
      <c r="S25" s="706">
        <f>F25</f>
        <v>100</v>
      </c>
      <c r="T25" s="705" t="s">
        <v>14</v>
      </c>
      <c r="U25" s="706">
        <f>H25</f>
        <v>100</v>
      </c>
      <c r="V25" s="705" t="s">
        <v>14</v>
      </c>
      <c r="W25" s="706">
        <f>J25</f>
        <v>100</v>
      </c>
      <c r="X25" s="1355"/>
      <c r="Y25" s="3725"/>
      <c r="Z25" s="1356" t="str">
        <f>Q25</f>
        <v>自然及人文环境状况</v>
      </c>
      <c r="AA25" s="1353">
        <f t="shared" si="3"/>
        <v>1</v>
      </c>
      <c r="AB25" s="1353">
        <f t="shared" si="4"/>
        <v>1</v>
      </c>
      <c r="AC25" s="1353">
        <f t="shared" si="5"/>
        <v>1</v>
      </c>
    </row>
    <row r="26" spans="1:29" ht="15.5">
      <c r="A26" s="358"/>
      <c r="B26" s="407"/>
      <c r="C26" s="398"/>
      <c r="D26" s="399"/>
      <c r="E26" s="1904"/>
      <c r="F26" s="399"/>
      <c r="G26" s="1904"/>
      <c r="H26" s="399"/>
      <c r="I26" s="398"/>
      <c r="J26" s="399"/>
      <c r="K26" s="620"/>
      <c r="L26" s="2720"/>
      <c r="M26" s="2714"/>
      <c r="N26" s="2714"/>
      <c r="O26" s="2772"/>
      <c r="P26" s="3725"/>
      <c r="Q26" s="1352"/>
      <c r="R26" s="705"/>
      <c r="S26" s="706"/>
      <c r="T26" s="705"/>
      <c r="U26" s="706"/>
      <c r="V26" s="705"/>
      <c r="W26" s="706"/>
      <c r="X26" s="1355"/>
      <c r="Y26" s="3725"/>
      <c r="Z26" s="1356"/>
      <c r="AA26" s="1353">
        <v>1</v>
      </c>
      <c r="AB26" s="1353">
        <v>1</v>
      </c>
      <c r="AC26" s="1353">
        <v>1</v>
      </c>
    </row>
    <row r="27" spans="1:29" s="108" customFormat="1" ht="42">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5"/>
      <c r="Q27" s="1343" t="str">
        <f t="shared" si="8"/>
        <v>公共配套设施</v>
      </c>
      <c r="R27" s="701" t="s">
        <v>14</v>
      </c>
      <c r="S27" s="702">
        <f>F27</f>
        <v>100</v>
      </c>
      <c r="T27" s="701" t="s">
        <v>14</v>
      </c>
      <c r="U27" s="702">
        <f>H27</f>
        <v>100</v>
      </c>
      <c r="V27" s="701" t="s">
        <v>14</v>
      </c>
      <c r="W27" s="702">
        <f>J27</f>
        <v>100</v>
      </c>
      <c r="X27" s="703"/>
      <c r="Y27" s="3725"/>
      <c r="Z27" s="52" t="str">
        <f>Q27</f>
        <v>公共配套设施</v>
      </c>
      <c r="AA27" s="1353">
        <f>D27/F27</f>
        <v>1</v>
      </c>
      <c r="AB27" s="1353">
        <f>D27/H27</f>
        <v>1</v>
      </c>
      <c r="AC27" s="1353">
        <f>D27/J27</f>
        <v>1</v>
      </c>
    </row>
    <row r="28" spans="1:29" s="108" customFormat="1" ht="15.5">
      <c r="A28" s="597"/>
      <c r="B28" s="407"/>
      <c r="C28" s="1977"/>
      <c r="D28" s="399"/>
      <c r="E28" s="1904"/>
      <c r="F28" s="399"/>
      <c r="G28" s="1904"/>
      <c r="H28" s="399"/>
      <c r="I28" s="398"/>
      <c r="J28" s="399"/>
      <c r="K28" s="620"/>
      <c r="L28" s="2715"/>
      <c r="M28" s="2716"/>
      <c r="N28" s="2716"/>
      <c r="O28" s="2770"/>
      <c r="P28" s="3725"/>
      <c r="Q28" s="1343"/>
      <c r="R28" s="701"/>
      <c r="S28" s="702"/>
      <c r="T28" s="701"/>
      <c r="U28" s="702"/>
      <c r="V28" s="701"/>
      <c r="W28" s="702"/>
      <c r="X28" s="703"/>
      <c r="Y28" s="3725"/>
      <c r="Z28" s="52"/>
      <c r="AA28" s="1353">
        <v>1</v>
      </c>
      <c r="AB28" s="1353">
        <v>1</v>
      </c>
      <c r="AC28" s="1353">
        <v>1</v>
      </c>
    </row>
    <row r="29" spans="1:29" s="108" customFormat="1" ht="42">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5"/>
      <c r="Q29" s="1343" t="str">
        <f t="shared" ref="Q29" si="9">B29</f>
        <v>基础设施水平</v>
      </c>
      <c r="R29" s="701" t="s">
        <v>14</v>
      </c>
      <c r="S29" s="702">
        <f>F29</f>
        <v>100</v>
      </c>
      <c r="T29" s="701" t="s">
        <v>14</v>
      </c>
      <c r="U29" s="702">
        <f>H29</f>
        <v>100</v>
      </c>
      <c r="V29" s="701" t="s">
        <v>14</v>
      </c>
      <c r="W29" s="702">
        <f>J29</f>
        <v>100</v>
      </c>
      <c r="X29" s="703"/>
      <c r="Y29" s="3725"/>
      <c r="Z29" s="52" t="str">
        <f>Q29</f>
        <v>基础设施水平</v>
      </c>
      <c r="AA29" s="1353">
        <f>D29/F29</f>
        <v>1</v>
      </c>
      <c r="AB29" s="1353">
        <f>D29/H29</f>
        <v>1</v>
      </c>
      <c r="AC29" s="1353">
        <f>D29/J29</f>
        <v>1</v>
      </c>
    </row>
    <row r="30" spans="1:29" s="108" customFormat="1" ht="15.5">
      <c r="A30" s="597"/>
      <c r="B30" s="407"/>
      <c r="C30" s="1977"/>
      <c r="D30" s="399"/>
      <c r="E30" s="1978"/>
      <c r="F30" s="399"/>
      <c r="G30" s="1978"/>
      <c r="H30" s="399"/>
      <c r="I30" s="1978"/>
      <c r="J30" s="399"/>
      <c r="K30" s="620"/>
      <c r="L30" s="2715"/>
      <c r="M30" s="2716"/>
      <c r="N30" s="2716"/>
      <c r="O30" s="2770"/>
      <c r="P30" s="3725"/>
      <c r="Q30" s="1343"/>
      <c r="R30" s="701"/>
      <c r="S30" s="702"/>
      <c r="T30" s="701"/>
      <c r="U30" s="702"/>
      <c r="V30" s="701"/>
      <c r="W30" s="702"/>
      <c r="X30" s="703"/>
      <c r="Y30" s="3725"/>
      <c r="Z30" s="52"/>
      <c r="AA30" s="1353">
        <v>1</v>
      </c>
      <c r="AB30" s="1353">
        <v>1</v>
      </c>
      <c r="AC30" s="1353">
        <v>1</v>
      </c>
    </row>
    <row r="31" spans="1:29" ht="15.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5"/>
      <c r="Z31" s="1356" t="str">
        <f t="shared" ref="Z31:Z45" si="13">Q31</f>
        <v>临街状况</v>
      </c>
      <c r="AA31" s="1353">
        <f t="shared" si="3"/>
        <v>1</v>
      </c>
      <c r="AB31" s="1353">
        <f t="shared" si="4"/>
        <v>1</v>
      </c>
      <c r="AC31" s="1353">
        <f t="shared" si="5"/>
        <v>1</v>
      </c>
    </row>
    <row r="32" spans="1:29" ht="2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5"/>
      <c r="Q32" s="1352" t="str">
        <f t="shared" si="8"/>
        <v>毗邻道路的类型与等级</v>
      </c>
      <c r="R32" s="705" t="s">
        <v>14</v>
      </c>
      <c r="S32" s="706">
        <f t="shared" si="10"/>
        <v>100</v>
      </c>
      <c r="T32" s="705" t="s">
        <v>14</v>
      </c>
      <c r="U32" s="706">
        <f t="shared" si="11"/>
        <v>100</v>
      </c>
      <c r="V32" s="705" t="s">
        <v>14</v>
      </c>
      <c r="W32" s="706">
        <f t="shared" si="12"/>
        <v>100</v>
      </c>
      <c r="X32" s="1355"/>
      <c r="Y32" s="3725"/>
      <c r="Z32" s="1356" t="str">
        <f t="shared" si="13"/>
        <v>毗邻道路的类型与等级</v>
      </c>
      <c r="AA32" s="1353">
        <f t="shared" si="3"/>
        <v>1</v>
      </c>
      <c r="AB32" s="1353">
        <f t="shared" si="4"/>
        <v>1</v>
      </c>
      <c r="AC32" s="1353">
        <f t="shared" si="5"/>
        <v>1</v>
      </c>
    </row>
    <row r="33" spans="1:29" ht="15.5">
      <c r="A33" s="379"/>
      <c r="B33" s="407"/>
      <c r="C33" s="398"/>
      <c r="D33" s="399"/>
      <c r="E33" s="1904"/>
      <c r="F33" s="399"/>
      <c r="G33" s="1904"/>
      <c r="H33" s="399"/>
      <c r="I33" s="398"/>
      <c r="J33" s="399"/>
      <c r="K33" s="562"/>
      <c r="L33" s="2720"/>
      <c r="M33" s="2714"/>
      <c r="N33" s="2714"/>
      <c r="O33" s="2772"/>
      <c r="P33" s="3725"/>
      <c r="Q33" s="1352"/>
      <c r="R33" s="705"/>
      <c r="S33" s="706"/>
      <c r="T33" s="705"/>
      <c r="U33" s="706"/>
      <c r="V33" s="705"/>
      <c r="W33" s="706"/>
      <c r="X33" s="1355"/>
      <c r="Y33" s="3725"/>
      <c r="Z33" s="1356"/>
      <c r="AA33" s="1353">
        <v>1</v>
      </c>
      <c r="AB33" s="1353">
        <v>1</v>
      </c>
      <c r="AC33" s="1353">
        <v>1</v>
      </c>
    </row>
    <row r="34" spans="1:29" ht="15.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5"/>
      <c r="Q34" s="1352" t="str">
        <f t="shared" si="8"/>
        <v>土地级别</v>
      </c>
      <c r="R34" s="705" t="s">
        <v>14</v>
      </c>
      <c r="S34" s="706">
        <f t="shared" si="10"/>
        <v>100</v>
      </c>
      <c r="T34" s="705" t="s">
        <v>14</v>
      </c>
      <c r="U34" s="706">
        <f t="shared" si="11"/>
        <v>100</v>
      </c>
      <c r="V34" s="705" t="s">
        <v>14</v>
      </c>
      <c r="W34" s="706">
        <f t="shared" si="12"/>
        <v>100</v>
      </c>
      <c r="X34" s="1355"/>
      <c r="Y34" s="3725"/>
      <c r="Z34" s="1356" t="str">
        <f t="shared" si="13"/>
        <v>土地级别</v>
      </c>
      <c r="AA34" s="1353">
        <f t="shared" si="3"/>
        <v>1</v>
      </c>
      <c r="AB34" s="1353">
        <f t="shared" si="4"/>
        <v>1</v>
      </c>
      <c r="AC34" s="1353">
        <f t="shared" si="5"/>
        <v>1</v>
      </c>
    </row>
    <row r="35" spans="1:29" ht="15.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5"/>
      <c r="Q35" s="1352">
        <f t="shared" si="8"/>
        <v>111</v>
      </c>
      <c r="R35" s="705" t="s">
        <v>14</v>
      </c>
      <c r="S35" s="706">
        <f t="shared" si="10"/>
        <v>100</v>
      </c>
      <c r="T35" s="705" t="s">
        <v>14</v>
      </c>
      <c r="U35" s="706">
        <f t="shared" si="11"/>
        <v>100</v>
      </c>
      <c r="V35" s="705" t="s">
        <v>14</v>
      </c>
      <c r="W35" s="706">
        <f t="shared" si="12"/>
        <v>100</v>
      </c>
      <c r="X35" s="1355"/>
      <c r="Y35" s="3725"/>
      <c r="Z35" s="1356">
        <f t="shared" si="13"/>
        <v>111</v>
      </c>
      <c r="AA35" s="1353">
        <f t="shared" si="3"/>
        <v>1</v>
      </c>
      <c r="AB35" s="1353">
        <f t="shared" si="4"/>
        <v>1</v>
      </c>
      <c r="AC35" s="1353">
        <f t="shared" si="5"/>
        <v>1</v>
      </c>
    </row>
    <row r="36" spans="1:29" ht="15.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9" t="s">
        <v>1696</v>
      </c>
      <c r="Q36" s="1352">
        <f t="shared" si="8"/>
        <v>111</v>
      </c>
      <c r="R36" s="705" t="s">
        <v>14</v>
      </c>
      <c r="S36" s="706">
        <f t="shared" si="10"/>
        <v>100</v>
      </c>
      <c r="T36" s="705" t="s">
        <v>14</v>
      </c>
      <c r="U36" s="706">
        <f t="shared" si="11"/>
        <v>100</v>
      </c>
      <c r="V36" s="705" t="s">
        <v>14</v>
      </c>
      <c r="W36" s="706">
        <f t="shared" si="12"/>
        <v>100</v>
      </c>
      <c r="X36" s="1355"/>
      <c r="Y36" s="3729" t="s">
        <v>1696</v>
      </c>
      <c r="Z36" s="1356">
        <f t="shared" si="13"/>
        <v>111</v>
      </c>
      <c r="AA36" s="1353">
        <f t="shared" si="3"/>
        <v>1</v>
      </c>
      <c r="AB36" s="1353">
        <f t="shared" si="4"/>
        <v>1</v>
      </c>
      <c r="AC36" s="1353">
        <f t="shared" si="5"/>
        <v>1</v>
      </c>
    </row>
    <row r="37" spans="1:29" s="422" customFormat="1" ht="1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9"/>
      <c r="Q37" s="1352">
        <f t="shared" si="8"/>
        <v>111</v>
      </c>
      <c r="R37" s="708" t="s">
        <v>14</v>
      </c>
      <c r="S37" s="709">
        <f t="shared" si="10"/>
        <v>100</v>
      </c>
      <c r="T37" s="708" t="s">
        <v>14</v>
      </c>
      <c r="U37" s="709">
        <f t="shared" si="11"/>
        <v>100</v>
      </c>
      <c r="V37" s="708" t="s">
        <v>14</v>
      </c>
      <c r="W37" s="709">
        <f t="shared" si="12"/>
        <v>100</v>
      </c>
      <c r="X37" s="710"/>
      <c r="Y37" s="3729"/>
      <c r="Z37" s="711">
        <f t="shared" si="13"/>
        <v>111</v>
      </c>
      <c r="AA37" s="1353">
        <f t="shared" si="3"/>
        <v>1</v>
      </c>
      <c r="AB37" s="1353">
        <f t="shared" si="4"/>
        <v>1</v>
      </c>
      <c r="AC37" s="1353">
        <f t="shared" si="5"/>
        <v>1</v>
      </c>
    </row>
    <row r="38" spans="1:29" ht="15.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9"/>
      <c r="Q38" s="1352" t="str">
        <f>B38</f>
        <v>宗地面积</v>
      </c>
      <c r="R38" s="705" t="s">
        <v>14</v>
      </c>
      <c r="S38" s="706" t="e">
        <f t="shared" si="10"/>
        <v>#N/A</v>
      </c>
      <c r="T38" s="705" t="s">
        <v>14</v>
      </c>
      <c r="U38" s="706" t="e">
        <f t="shared" si="11"/>
        <v>#N/A</v>
      </c>
      <c r="V38" s="705" t="s">
        <v>14</v>
      </c>
      <c r="W38" s="706" t="e">
        <f t="shared" si="12"/>
        <v>#N/A</v>
      </c>
      <c r="X38" s="1355"/>
      <c r="Y38" s="3729"/>
      <c r="Z38" s="1356" t="str">
        <f t="shared" si="13"/>
        <v>宗地面积</v>
      </c>
      <c r="AA38" s="1353" t="e">
        <f t="shared" si="3"/>
        <v>#N/A</v>
      </c>
      <c r="AB38" s="1353" t="e">
        <f t="shared" si="4"/>
        <v>#N/A</v>
      </c>
      <c r="AC38" s="1353" t="e">
        <f t="shared" si="5"/>
        <v>#N/A</v>
      </c>
    </row>
    <row r="39" spans="1:29" ht="15.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29"/>
      <c r="Q39" s="1352" t="str">
        <f t="shared" ref="Q39:Q45" si="14">B39</f>
        <v>宗地形状</v>
      </c>
      <c r="R39" s="705" t="s">
        <v>14</v>
      </c>
      <c r="S39" s="706">
        <f t="shared" si="10"/>
        <v>100</v>
      </c>
      <c r="T39" s="705" t="s">
        <v>14</v>
      </c>
      <c r="U39" s="706">
        <f t="shared" si="11"/>
        <v>100</v>
      </c>
      <c r="V39" s="705" t="s">
        <v>14</v>
      </c>
      <c r="W39" s="706">
        <f t="shared" si="12"/>
        <v>100</v>
      </c>
      <c r="X39" s="1355"/>
      <c r="Y39" s="3729"/>
      <c r="Z39" s="1356" t="str">
        <f t="shared" si="13"/>
        <v>宗地形状</v>
      </c>
      <c r="AA39" s="1353">
        <f t="shared" si="3"/>
        <v>1</v>
      </c>
      <c r="AB39" s="1353">
        <f t="shared" si="4"/>
        <v>1</v>
      </c>
      <c r="AC39" s="1353">
        <f t="shared" si="5"/>
        <v>1</v>
      </c>
    </row>
    <row r="40" spans="1:29" ht="15.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29"/>
      <c r="Q40" s="1352" t="str">
        <f t="shared" si="14"/>
        <v>临街宽度及深度</v>
      </c>
      <c r="R40" s="705" t="s">
        <v>14</v>
      </c>
      <c r="S40" s="706">
        <f t="shared" si="10"/>
        <v>100</v>
      </c>
      <c r="T40" s="705" t="s">
        <v>14</v>
      </c>
      <c r="U40" s="706">
        <f t="shared" si="11"/>
        <v>100</v>
      </c>
      <c r="V40" s="705" t="s">
        <v>14</v>
      </c>
      <c r="W40" s="706">
        <f t="shared" si="12"/>
        <v>100</v>
      </c>
      <c r="X40" s="1355"/>
      <c r="Y40" s="3729"/>
      <c r="Z40" s="1356" t="str">
        <f t="shared" si="13"/>
        <v>临街宽度及深度</v>
      </c>
      <c r="AA40" s="1353">
        <f t="shared" si="3"/>
        <v>1</v>
      </c>
      <c r="AB40" s="1353">
        <f t="shared" si="4"/>
        <v>1</v>
      </c>
      <c r="AC40" s="1353">
        <f t="shared" si="5"/>
        <v>1</v>
      </c>
    </row>
    <row r="41" spans="1:29" s="108" customFormat="1" ht="15.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29"/>
      <c r="Q41" s="1352" t="str">
        <f t="shared" si="14"/>
        <v>宗地开发程度</v>
      </c>
      <c r="R41" s="701" t="s">
        <v>14</v>
      </c>
      <c r="S41" s="702">
        <f t="shared" si="10"/>
        <v>100</v>
      </c>
      <c r="T41" s="701" t="s">
        <v>14</v>
      </c>
      <c r="U41" s="702">
        <f t="shared" si="11"/>
        <v>100</v>
      </c>
      <c r="V41" s="701" t="s">
        <v>14</v>
      </c>
      <c r="W41" s="702">
        <f t="shared" si="12"/>
        <v>100</v>
      </c>
      <c r="X41" s="703"/>
      <c r="Y41" s="3729"/>
      <c r="Z41" s="52" t="str">
        <f t="shared" si="13"/>
        <v>宗地开发程度</v>
      </c>
      <c r="AA41" s="704">
        <f t="shared" si="3"/>
        <v>1</v>
      </c>
      <c r="AB41" s="704">
        <f t="shared" si="4"/>
        <v>1</v>
      </c>
      <c r="AC41" s="704">
        <f t="shared" si="5"/>
        <v>1</v>
      </c>
    </row>
    <row r="42" spans="1:29" ht="15.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29" t="s">
        <v>1696</v>
      </c>
      <c r="Q42" s="1352" t="str">
        <f t="shared" si="14"/>
        <v>工程地质条件</v>
      </c>
      <c r="R42" s="705" t="s">
        <v>14</v>
      </c>
      <c r="S42" s="706">
        <f t="shared" si="10"/>
        <v>100</v>
      </c>
      <c r="T42" s="705" t="s">
        <v>14</v>
      </c>
      <c r="U42" s="706">
        <f t="shared" si="11"/>
        <v>100</v>
      </c>
      <c r="V42" s="705" t="s">
        <v>14</v>
      </c>
      <c r="W42" s="706">
        <f t="shared" si="12"/>
        <v>100</v>
      </c>
      <c r="X42" s="1355"/>
      <c r="Y42" s="3729" t="s">
        <v>1696</v>
      </c>
      <c r="Z42" s="1356" t="str">
        <f t="shared" si="13"/>
        <v>工程地质条件</v>
      </c>
      <c r="AA42" s="1353">
        <f t="shared" si="3"/>
        <v>1</v>
      </c>
      <c r="AB42" s="1353">
        <f t="shared" si="4"/>
        <v>1</v>
      </c>
      <c r="AC42" s="1353">
        <f t="shared" si="5"/>
        <v>1</v>
      </c>
    </row>
    <row r="43" spans="1:29" ht="15.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9"/>
      <c r="Q43" s="1352">
        <f t="shared" si="14"/>
        <v>111</v>
      </c>
      <c r="R43" s="705" t="s">
        <v>14</v>
      </c>
      <c r="S43" s="706">
        <f t="shared" si="10"/>
        <v>100</v>
      </c>
      <c r="T43" s="705" t="s">
        <v>14</v>
      </c>
      <c r="U43" s="706">
        <f t="shared" si="11"/>
        <v>100</v>
      </c>
      <c r="V43" s="705" t="s">
        <v>14</v>
      </c>
      <c r="W43" s="706">
        <f t="shared" si="12"/>
        <v>100</v>
      </c>
      <c r="X43" s="1355"/>
      <c r="Y43" s="3729"/>
      <c r="Z43" s="1356">
        <f t="shared" si="13"/>
        <v>111</v>
      </c>
      <c r="AA43" s="1353">
        <f t="shared" si="3"/>
        <v>1</v>
      </c>
      <c r="AB43" s="1353">
        <f t="shared" si="4"/>
        <v>1</v>
      </c>
      <c r="AC43" s="1353">
        <f t="shared" si="5"/>
        <v>1</v>
      </c>
    </row>
    <row r="44" spans="1:29" ht="15.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9"/>
      <c r="Q44" s="1352">
        <f t="shared" si="14"/>
        <v>111</v>
      </c>
      <c r="R44" s="705" t="s">
        <v>14</v>
      </c>
      <c r="S44" s="706">
        <f t="shared" si="10"/>
        <v>100</v>
      </c>
      <c r="T44" s="705" t="s">
        <v>14</v>
      </c>
      <c r="U44" s="706">
        <f t="shared" si="11"/>
        <v>100</v>
      </c>
      <c r="V44" s="705" t="s">
        <v>14</v>
      </c>
      <c r="W44" s="706">
        <f t="shared" si="12"/>
        <v>100</v>
      </c>
      <c r="X44" s="1355"/>
      <c r="Y44" s="3729"/>
      <c r="Z44" s="1356">
        <f t="shared" si="13"/>
        <v>111</v>
      </c>
      <c r="AA44" s="1353">
        <f t="shared" si="3"/>
        <v>1</v>
      </c>
      <c r="AB44" s="1353">
        <f t="shared" si="4"/>
        <v>1</v>
      </c>
      <c r="AC44" s="1353">
        <f t="shared" si="5"/>
        <v>1</v>
      </c>
    </row>
    <row r="45" spans="1:29" s="422" customFormat="1" ht="1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9"/>
      <c r="Q45" s="1352">
        <f t="shared" si="14"/>
        <v>111</v>
      </c>
      <c r="R45" s="708" t="s">
        <v>14</v>
      </c>
      <c r="S45" s="709">
        <f t="shared" si="10"/>
        <v>100</v>
      </c>
      <c r="T45" s="708" t="s">
        <v>14</v>
      </c>
      <c r="U45" s="709">
        <f t="shared" si="11"/>
        <v>100</v>
      </c>
      <c r="V45" s="708" t="s">
        <v>14</v>
      </c>
      <c r="W45" s="709">
        <f t="shared" si="12"/>
        <v>100</v>
      </c>
      <c r="X45" s="710"/>
      <c r="Y45" s="3729"/>
      <c r="Z45" s="711">
        <f t="shared" si="13"/>
        <v>111</v>
      </c>
      <c r="AA45" s="1353">
        <f t="shared" si="3"/>
        <v>1</v>
      </c>
      <c r="AB45" s="1353">
        <f t="shared" si="4"/>
        <v>1</v>
      </c>
      <c r="AC45" s="1353">
        <f t="shared" si="5"/>
        <v>1</v>
      </c>
    </row>
    <row r="46" spans="1:29">
      <c r="A46" s="430" t="s">
        <v>1844</v>
      </c>
      <c r="B46" s="1981" t="s">
        <v>1879</v>
      </c>
      <c r="C46" s="630" t="s">
        <v>0</v>
      </c>
      <c r="D46" s="432"/>
      <c r="E46" s="433"/>
      <c r="F46" s="434"/>
      <c r="G46" s="435"/>
      <c r="H46" s="436"/>
      <c r="I46" s="433"/>
      <c r="J46" s="436"/>
      <c r="K46" s="714"/>
      <c r="L46" s="2722"/>
      <c r="M46" s="2723"/>
      <c r="N46" s="2714"/>
      <c r="O46" s="2723"/>
      <c r="P46" s="3722" t="str">
        <f>A46</f>
        <v>成交单价</v>
      </c>
      <c r="Q46" s="3722"/>
      <c r="R46" s="3716">
        <f>E46</f>
        <v>0</v>
      </c>
      <c r="S46" s="3716"/>
      <c r="T46" s="3716">
        <f>G46</f>
        <v>0</v>
      </c>
      <c r="U46" s="3716"/>
      <c r="V46" s="3716">
        <f>I46</f>
        <v>0</v>
      </c>
      <c r="W46" s="3716"/>
      <c r="X46" s="690"/>
      <c r="Y46" s="712"/>
      <c r="Z46" s="690"/>
      <c r="AA46" s="690"/>
      <c r="AB46" s="690"/>
      <c r="AC46" s="690"/>
    </row>
    <row r="47" spans="1:29" ht="14.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722" t="str">
        <f>A47</f>
        <v>比较价值（元/平方米）</v>
      </c>
      <c r="Q47" s="3722"/>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4.5" thickBot="1">
      <c r="A48" s="441" t="s">
        <v>1880</v>
      </c>
      <c r="B48" s="442"/>
      <c r="C48" s="443" t="e">
        <f>R48</f>
        <v>#DIV/0!</v>
      </c>
      <c r="D48" s="443"/>
      <c r="E48" s="443"/>
      <c r="F48" s="443"/>
      <c r="G48" s="443"/>
      <c r="H48" s="443"/>
      <c r="I48" s="443"/>
      <c r="J48" s="443"/>
      <c r="K48" s="715"/>
      <c r="L48" s="2722"/>
      <c r="M48" s="2723"/>
      <c r="N48" s="2723"/>
      <c r="O48" s="2723"/>
      <c r="P48" s="3719" t="str">
        <f>A48</f>
        <v>估价对象XX用房的比较价值（楼面单价，元/平方米）</v>
      </c>
      <c r="Q48" s="3720"/>
      <c r="R48" s="3752" t="e">
        <f>ROUND(IF(D47="简单平均",AVERAGE(R47:W47),R47*F47+T47*H47+V47*J47),0)</f>
        <v>#DIV/0!</v>
      </c>
      <c r="S48" s="3752"/>
      <c r="T48" s="3752"/>
      <c r="U48" s="3752"/>
      <c r="V48" s="3752"/>
      <c r="W48" s="375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704" t="s">
        <v>1887</v>
      </c>
      <c r="H55" s="3753"/>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142.19</v>
      </c>
      <c r="F56" s="886" t="e">
        <f t="shared" ref="F56:F64" si="15">ROUND(B56*E56/10000,0)</f>
        <v>#DIV/0!</v>
      </c>
      <c r="G56" s="3703"/>
      <c r="H56" s="372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142.19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c r="A69" s="1988"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4.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8.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4.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4.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4.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4.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8.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8.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4.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4.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4.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8.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4.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4.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4.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4.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4.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57" customWidth="1"/>
    <col min="2" max="2" width="15.7265625" style="357" customWidth="1"/>
    <col min="3" max="3" width="14.36328125" style="357" customWidth="1"/>
    <col min="4" max="4" width="12.26953125" style="357" customWidth="1"/>
    <col min="5" max="5" width="14.36328125" style="357" customWidth="1"/>
    <col min="6" max="6" width="12.26953125" style="357" customWidth="1"/>
    <col min="7" max="7" width="14.453125" style="357" customWidth="1"/>
    <col min="8" max="8" width="12.26953125" style="357" customWidth="1"/>
    <col min="9" max="9" width="14.453125" style="357" customWidth="1"/>
    <col min="10" max="10" width="12.26953125" style="357" customWidth="1"/>
    <col min="11" max="11" width="12.26953125" style="444" customWidth="1"/>
    <col min="12" max="12" width="12.26953125" style="445" customWidth="1"/>
    <col min="13" max="15" width="12.26953125" style="357" customWidth="1"/>
    <col min="16" max="16" width="4.7265625" style="357" customWidth="1"/>
    <col min="17" max="17" width="19.453125" style="357" customWidth="1"/>
    <col min="18" max="22" width="6.08984375" style="357" customWidth="1"/>
    <col min="23" max="23" width="5.7265625" style="357" customWidth="1"/>
    <col min="24" max="24" width="4.26953125" style="357" customWidth="1"/>
    <col min="25" max="25" width="3.453125" style="357" customWidth="1"/>
    <col min="26" max="26" width="19.7265625" style="357" customWidth="1"/>
    <col min="27" max="28" width="9.36328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c r="A4" s="355" t="s">
        <v>1769</v>
      </c>
      <c r="B4" s="356"/>
      <c r="C4" s="3704" t="s">
        <v>1770</v>
      </c>
      <c r="D4" s="3705"/>
      <c r="E4" s="3706" t="s">
        <v>1771</v>
      </c>
      <c r="F4" s="3707"/>
      <c r="G4" s="3704" t="s">
        <v>1772</v>
      </c>
      <c r="H4" s="3705"/>
      <c r="I4" s="3704" t="s">
        <v>1773</v>
      </c>
      <c r="J4" s="3705"/>
      <c r="K4" s="559" t="s">
        <v>1774</v>
      </c>
      <c r="L4" s="2713"/>
      <c r="M4" s="2714"/>
      <c r="N4" s="2714"/>
      <c r="O4" s="2714"/>
      <c r="P4" s="3708" t="s">
        <v>1775</v>
      </c>
      <c r="Q4" s="3709"/>
      <c r="R4" s="3691" t="s">
        <v>1771</v>
      </c>
      <c r="S4" s="3692"/>
      <c r="T4" s="3691" t="s">
        <v>1772</v>
      </c>
      <c r="U4" s="3692"/>
      <c r="V4" s="3716" t="s">
        <v>1773</v>
      </c>
      <c r="W4" s="3716"/>
      <c r="X4" s="1355"/>
      <c r="Y4" s="3691" t="s">
        <v>1775</v>
      </c>
      <c r="Z4" s="3692"/>
      <c r="AA4" s="3686" t="s">
        <v>1771</v>
      </c>
      <c r="AB4" s="3687" t="s">
        <v>1772</v>
      </c>
      <c r="AC4" s="3686" t="s">
        <v>1773</v>
      </c>
    </row>
    <row r="5" spans="1:29">
      <c r="A5" s="358"/>
      <c r="B5" s="359"/>
      <c r="C5" s="3697" t="s">
        <v>1673</v>
      </c>
      <c r="D5" s="3698"/>
      <c r="E5" s="3733" t="s">
        <v>1674</v>
      </c>
      <c r="F5" s="3696"/>
      <c r="G5" s="3697" t="s">
        <v>1675</v>
      </c>
      <c r="H5" s="3698"/>
      <c r="I5" s="3697" t="s">
        <v>1676</v>
      </c>
      <c r="J5" s="3698"/>
      <c r="K5" s="559"/>
      <c r="L5" s="2713"/>
      <c r="M5" s="2714"/>
      <c r="N5" s="2714"/>
      <c r="O5" s="2714"/>
      <c r="P5" s="3710"/>
      <c r="Q5" s="3711"/>
      <c r="R5" s="3693"/>
      <c r="S5" s="3694"/>
      <c r="T5" s="3693"/>
      <c r="U5" s="3694"/>
      <c r="V5" s="3716"/>
      <c r="W5" s="3716"/>
      <c r="X5" s="1355"/>
      <c r="Y5" s="3693"/>
      <c r="Z5" s="3694"/>
      <c r="AA5" s="3687"/>
      <c r="AB5" s="3687"/>
      <c r="AC5" s="3687"/>
    </row>
    <row r="6" spans="1:29" ht="15" thickBot="1">
      <c r="A6" s="360"/>
      <c r="B6" s="361"/>
      <c r="C6" s="3754" t="s">
        <v>1919</v>
      </c>
      <c r="D6" s="3755"/>
      <c r="E6" s="3756" t="s">
        <v>1919</v>
      </c>
      <c r="F6" s="3757"/>
      <c r="G6" s="3754" t="s">
        <v>1919</v>
      </c>
      <c r="H6" s="3755"/>
      <c r="I6" s="3754" t="s">
        <v>1919</v>
      </c>
      <c r="J6" s="3755"/>
      <c r="K6" s="559" t="s">
        <v>1678</v>
      </c>
      <c r="L6" s="2713"/>
      <c r="M6" s="2714"/>
      <c r="N6" s="2714"/>
      <c r="O6" s="2714"/>
      <c r="P6" s="3712"/>
      <c r="Q6" s="3713"/>
      <c r="R6" s="3693"/>
      <c r="S6" s="3694"/>
      <c r="T6" s="3714"/>
      <c r="U6" s="3715"/>
      <c r="V6" s="3716"/>
      <c r="W6" s="3716"/>
      <c r="X6" s="1355"/>
      <c r="Y6" s="3714"/>
      <c r="Z6" s="3715"/>
      <c r="AA6" s="3688"/>
      <c r="AB6" s="3688"/>
      <c r="AC6" s="3688"/>
    </row>
    <row r="7" spans="1:29" s="108" customFormat="1" ht="14.5" thickBot="1">
      <c r="A7" s="362" t="s">
        <v>1679</v>
      </c>
      <c r="B7" s="363"/>
      <c r="C7" s="364">
        <f>'数据-取费表'!B2</f>
        <v>45072</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89" t="s">
        <v>1680</v>
      </c>
      <c r="Q7" s="3718"/>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4.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9" t="s">
        <v>1683</v>
      </c>
      <c r="Q8" s="3690"/>
      <c r="R8" s="701" t="s">
        <v>14</v>
      </c>
      <c r="S8" s="702">
        <f t="shared" si="0"/>
        <v>0</v>
      </c>
      <c r="T8" s="701" t="s">
        <v>14</v>
      </c>
      <c r="U8" s="702">
        <f t="shared" si="1"/>
        <v>0</v>
      </c>
      <c r="V8" s="701" t="s">
        <v>14</v>
      </c>
      <c r="W8" s="702">
        <f t="shared" si="2"/>
        <v>0</v>
      </c>
      <c r="X8" s="703"/>
      <c r="Y8" s="3689" t="s">
        <v>1683</v>
      </c>
      <c r="Z8" s="3690"/>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22"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
      <c r="A10" s="374"/>
      <c r="B10" s="375" t="s">
        <v>1688</v>
      </c>
      <c r="C10" s="383"/>
      <c r="D10" s="127">
        <v>100</v>
      </c>
      <c r="E10" s="383"/>
      <c r="F10" s="127">
        <f>ROUND(100/'数据-取费表'!G16,0)</f>
        <v>113</v>
      </c>
      <c r="G10" s="383"/>
      <c r="H10" s="127">
        <f>ROUND(100/'数据-取费表'!G16,0)</f>
        <v>113</v>
      </c>
      <c r="I10" s="383"/>
      <c r="J10" s="127">
        <f>ROUND(100/'数据-取费表'!G16,0)</f>
        <v>113</v>
      </c>
      <c r="K10" s="620"/>
      <c r="L10" s="2717"/>
      <c r="M10" s="2718"/>
      <c r="N10" s="2718"/>
      <c r="O10" s="2771"/>
      <c r="P10" s="3722"/>
      <c r="Q10" s="1343" t="str">
        <f t="shared" si="6"/>
        <v>土地使用年限（年）</v>
      </c>
      <c r="R10" s="701" t="s">
        <v>14</v>
      </c>
      <c r="S10" s="702">
        <f t="shared" si="0"/>
        <v>113</v>
      </c>
      <c r="T10" s="701" t="s">
        <v>14</v>
      </c>
      <c r="U10" s="702">
        <f t="shared" si="1"/>
        <v>113</v>
      </c>
      <c r="V10" s="701" t="s">
        <v>14</v>
      </c>
      <c r="W10" s="702">
        <f t="shared" si="2"/>
        <v>113</v>
      </c>
      <c r="X10" s="703"/>
      <c r="Y10" s="3633"/>
      <c r="Z10" s="52" t="str">
        <f t="shared" si="7"/>
        <v>土地使用年限（年）</v>
      </c>
      <c r="AA10" s="704">
        <f t="shared" si="3"/>
        <v>0.88495575221238942</v>
      </c>
      <c r="AB10" s="704">
        <f t="shared" si="4"/>
        <v>0.88495575221238942</v>
      </c>
      <c r="AC10" s="704">
        <f t="shared" si="5"/>
        <v>0.88495575221238942</v>
      </c>
    </row>
    <row r="11" spans="1:29" ht="15.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2"/>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2"/>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2"/>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2"/>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70">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5">
      <c r="A16" s="379"/>
      <c r="B16" s="578"/>
      <c r="C16" s="398"/>
      <c r="D16" s="399"/>
      <c r="E16" s="1904"/>
      <c r="F16" s="399"/>
      <c r="G16" s="1904"/>
      <c r="H16" s="401"/>
      <c r="I16" s="1904"/>
      <c r="J16" s="399"/>
      <c r="K16" s="620"/>
      <c r="L16" s="2720"/>
      <c r="M16" s="2714"/>
      <c r="N16" s="2714"/>
      <c r="O16" s="2772"/>
      <c r="P16" s="3725"/>
      <c r="Q16" s="1352"/>
      <c r="R16" s="705"/>
      <c r="S16" s="706"/>
      <c r="T16" s="705"/>
      <c r="U16" s="706"/>
      <c r="V16" s="705"/>
      <c r="W16" s="706"/>
      <c r="X16" s="1355"/>
      <c r="Y16" s="3725"/>
      <c r="Z16" s="1356"/>
      <c r="AA16" s="1353">
        <v>1</v>
      </c>
      <c r="AB16" s="1353">
        <v>1</v>
      </c>
      <c r="AC16" s="1353">
        <v>1</v>
      </c>
    </row>
    <row r="17" spans="1:29" ht="98">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5">
      <c r="A18" s="379"/>
      <c r="B18" s="580"/>
      <c r="C18" s="398"/>
      <c r="D18" s="399"/>
      <c r="E18" s="1898"/>
      <c r="F18" s="399"/>
      <c r="G18" s="1898"/>
      <c r="H18" s="399"/>
      <c r="I18" s="1897"/>
      <c r="J18" s="399"/>
      <c r="K18" s="620"/>
      <c r="L18" s="2720"/>
      <c r="M18" s="2714"/>
      <c r="N18" s="2714"/>
      <c r="O18" s="2772"/>
      <c r="P18" s="3725"/>
      <c r="Q18" s="1352"/>
      <c r="R18" s="705"/>
      <c r="S18" s="706"/>
      <c r="T18" s="705"/>
      <c r="U18" s="706"/>
      <c r="V18" s="705"/>
      <c r="W18" s="706"/>
      <c r="X18" s="1355"/>
      <c r="Y18" s="3725"/>
      <c r="Z18" s="1356"/>
      <c r="AA18" s="1353">
        <v>1</v>
      </c>
      <c r="AB18" s="1353">
        <v>1</v>
      </c>
      <c r="AC18" s="1353">
        <v>1</v>
      </c>
    </row>
    <row r="19" spans="1:29" ht="2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5"/>
      <c r="Q19" s="1352" t="str">
        <f t="shared" ref="Q19:Q33" si="8">B19</f>
        <v>区域土地利用方向</v>
      </c>
      <c r="R19" s="705" t="s">
        <v>14</v>
      </c>
      <c r="S19" s="706">
        <f>F19</f>
        <v>100</v>
      </c>
      <c r="T19" s="705" t="s">
        <v>14</v>
      </c>
      <c r="U19" s="706">
        <f>H19</f>
        <v>100</v>
      </c>
      <c r="V19" s="705" t="s">
        <v>14</v>
      </c>
      <c r="W19" s="706">
        <f>J19</f>
        <v>100</v>
      </c>
      <c r="X19" s="1355"/>
      <c r="Y19" s="3725"/>
      <c r="Z19" s="1356" t="str">
        <f>Q19</f>
        <v>区域土地利用方向</v>
      </c>
      <c r="AA19" s="1353">
        <f t="shared" si="3"/>
        <v>1</v>
      </c>
      <c r="AB19" s="1353">
        <f t="shared" si="4"/>
        <v>1</v>
      </c>
      <c r="AC19" s="1353">
        <f t="shared" si="5"/>
        <v>1</v>
      </c>
    </row>
    <row r="20" spans="1:29" ht="15.5">
      <c r="A20" s="358"/>
      <c r="B20" s="580"/>
      <c r="C20" s="398"/>
      <c r="D20" s="399"/>
      <c r="E20" s="1898"/>
      <c r="F20" s="399"/>
      <c r="G20" s="1898"/>
      <c r="H20" s="399"/>
      <c r="I20" s="1898"/>
      <c r="J20" s="399"/>
      <c r="K20" s="740"/>
      <c r="L20" s="2720"/>
      <c r="M20" s="2714"/>
      <c r="N20" s="2714"/>
      <c r="O20" s="2772"/>
      <c r="P20" s="3725"/>
      <c r="Q20" s="1352"/>
      <c r="R20" s="705"/>
      <c r="S20" s="706"/>
      <c r="T20" s="705"/>
      <c r="U20" s="706"/>
      <c r="V20" s="705"/>
      <c r="W20" s="706"/>
      <c r="X20" s="1355"/>
      <c r="Y20" s="3725"/>
      <c r="Z20" s="1356"/>
      <c r="AA20" s="1353"/>
      <c r="AB20" s="1353"/>
      <c r="AC20" s="1353"/>
    </row>
    <row r="21" spans="1:29" ht="84">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5"/>
      <c r="Q21" s="1352" t="str">
        <f t="shared" si="8"/>
        <v>环境状况</v>
      </c>
      <c r="R21" s="705" t="s">
        <v>14</v>
      </c>
      <c r="S21" s="706">
        <f>F21</f>
        <v>100</v>
      </c>
      <c r="T21" s="705" t="s">
        <v>14</v>
      </c>
      <c r="U21" s="706">
        <f>H21</f>
        <v>100</v>
      </c>
      <c r="V21" s="705" t="s">
        <v>14</v>
      </c>
      <c r="W21" s="706">
        <f>J21</f>
        <v>100</v>
      </c>
      <c r="X21" s="1355"/>
      <c r="Y21" s="3725"/>
      <c r="Z21" s="1356" t="str">
        <f>Q21</f>
        <v>环境状况</v>
      </c>
      <c r="AA21" s="1353">
        <f t="shared" si="3"/>
        <v>1</v>
      </c>
      <c r="AB21" s="1353">
        <f t="shared" si="4"/>
        <v>1</v>
      </c>
      <c r="AC21" s="1353">
        <f t="shared" si="5"/>
        <v>1</v>
      </c>
    </row>
    <row r="22" spans="1:29" ht="15.5">
      <c r="A22" s="358"/>
      <c r="B22" s="580"/>
      <c r="C22" s="398"/>
      <c r="D22" s="399"/>
      <c r="E22" s="1904"/>
      <c r="F22" s="399"/>
      <c r="G22" s="1904"/>
      <c r="H22" s="399"/>
      <c r="I22" s="398"/>
      <c r="J22" s="399"/>
      <c r="K22" s="620"/>
      <c r="L22" s="2720"/>
      <c r="M22" s="2714"/>
      <c r="N22" s="2714"/>
      <c r="O22" s="2772"/>
      <c r="P22" s="3725"/>
      <c r="Q22" s="1352"/>
      <c r="R22" s="705"/>
      <c r="S22" s="706"/>
      <c r="T22" s="705"/>
      <c r="U22" s="706"/>
      <c r="V22" s="705"/>
      <c r="W22" s="706"/>
      <c r="X22" s="1355"/>
      <c r="Y22" s="3725"/>
      <c r="Z22" s="1356"/>
      <c r="AA22" s="1353">
        <v>1</v>
      </c>
      <c r="AB22" s="1353">
        <v>1</v>
      </c>
      <c r="AC22" s="1353">
        <v>1</v>
      </c>
    </row>
    <row r="23" spans="1:29" s="108" customFormat="1" ht="42">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5"/>
      <c r="Q23" s="1343" t="str">
        <f t="shared" si="8"/>
        <v>公共配套设施</v>
      </c>
      <c r="R23" s="701" t="s">
        <v>14</v>
      </c>
      <c r="S23" s="702">
        <f>F23</f>
        <v>100</v>
      </c>
      <c r="T23" s="701" t="s">
        <v>14</v>
      </c>
      <c r="U23" s="702">
        <f>H23</f>
        <v>100</v>
      </c>
      <c r="V23" s="701" t="s">
        <v>14</v>
      </c>
      <c r="W23" s="702">
        <f>J23</f>
        <v>100</v>
      </c>
      <c r="X23" s="703"/>
      <c r="Y23" s="3725"/>
      <c r="Z23" s="52" t="str">
        <f>Q23</f>
        <v>公共配套设施</v>
      </c>
      <c r="AA23" s="1353">
        <f>D23/F23</f>
        <v>1</v>
      </c>
      <c r="AB23" s="1353">
        <f>D23/H23</f>
        <v>1</v>
      </c>
      <c r="AC23" s="1353">
        <f>D23/J23</f>
        <v>1</v>
      </c>
    </row>
    <row r="24" spans="1:29" s="108" customFormat="1" ht="15.5">
      <c r="A24" s="597"/>
      <c r="B24" s="580"/>
      <c r="C24" s="1977"/>
      <c r="D24" s="399"/>
      <c r="E24" s="1904"/>
      <c r="F24" s="399"/>
      <c r="G24" s="1904"/>
      <c r="H24" s="399"/>
      <c r="I24" s="398"/>
      <c r="J24" s="399"/>
      <c r="K24" s="620"/>
      <c r="L24" s="2715"/>
      <c r="M24" s="2716"/>
      <c r="N24" s="2716"/>
      <c r="O24" s="2770"/>
      <c r="P24" s="3725"/>
      <c r="Q24" s="1343"/>
      <c r="R24" s="701"/>
      <c r="S24" s="702"/>
      <c r="T24" s="701"/>
      <c r="U24" s="702"/>
      <c r="V24" s="701"/>
      <c r="W24" s="702"/>
      <c r="X24" s="703"/>
      <c r="Y24" s="3725"/>
      <c r="Z24" s="52"/>
      <c r="AA24" s="704">
        <v>1</v>
      </c>
      <c r="AB24" s="704">
        <v>1</v>
      </c>
      <c r="AC24" s="704">
        <v>1</v>
      </c>
    </row>
    <row r="25" spans="1:29" s="108" customFormat="1" ht="42">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5"/>
      <c r="Q25" s="1343" t="str">
        <f t="shared" ref="Q25" si="9">B25</f>
        <v>基础设施水平</v>
      </c>
      <c r="R25" s="701" t="s">
        <v>14</v>
      </c>
      <c r="S25" s="702">
        <f>F25</f>
        <v>100</v>
      </c>
      <c r="T25" s="701" t="s">
        <v>14</v>
      </c>
      <c r="U25" s="702">
        <f>H25</f>
        <v>100</v>
      </c>
      <c r="V25" s="701" t="s">
        <v>14</v>
      </c>
      <c r="W25" s="702">
        <f>J25</f>
        <v>100</v>
      </c>
      <c r="X25" s="703"/>
      <c r="Y25" s="3725"/>
      <c r="Z25" s="52" t="str">
        <f>Q25</f>
        <v>基础设施水平</v>
      </c>
      <c r="AA25" s="1353">
        <f>D25/F25</f>
        <v>1</v>
      </c>
      <c r="AB25" s="1353">
        <f>D25/H25</f>
        <v>1</v>
      </c>
      <c r="AC25" s="1353">
        <f>D25/J25</f>
        <v>1</v>
      </c>
    </row>
    <row r="26" spans="1:29" s="108" customFormat="1" ht="15.5">
      <c r="A26" s="597"/>
      <c r="B26" s="580"/>
      <c r="C26" s="1977"/>
      <c r="D26" s="399"/>
      <c r="E26" s="1978"/>
      <c r="F26" s="399"/>
      <c r="G26" s="1978"/>
      <c r="H26" s="399"/>
      <c r="I26" s="1978"/>
      <c r="J26" s="399"/>
      <c r="K26" s="620"/>
      <c r="L26" s="2715"/>
      <c r="M26" s="2716"/>
      <c r="N26" s="2716"/>
      <c r="O26" s="2770"/>
      <c r="P26" s="3725"/>
      <c r="Q26" s="1343"/>
      <c r="R26" s="701"/>
      <c r="S26" s="702"/>
      <c r="T26" s="701"/>
      <c r="U26" s="702"/>
      <c r="V26" s="701"/>
      <c r="W26" s="702"/>
      <c r="X26" s="703"/>
      <c r="Y26" s="3725"/>
      <c r="Z26" s="52"/>
      <c r="AA26" s="704">
        <v>1</v>
      </c>
      <c r="AB26" s="704">
        <v>1</v>
      </c>
      <c r="AC26" s="704">
        <v>1</v>
      </c>
    </row>
    <row r="27" spans="1:29" ht="15.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5"/>
      <c r="Z27" s="1356" t="str">
        <f t="shared" ref="Z27:Z40" si="13">Q27</f>
        <v>临街状况</v>
      </c>
      <c r="AA27" s="1353">
        <f t="shared" si="3"/>
        <v>1</v>
      </c>
      <c r="AB27" s="1353">
        <f t="shared" si="4"/>
        <v>1</v>
      </c>
      <c r="AC27" s="1353">
        <f t="shared" si="5"/>
        <v>1</v>
      </c>
    </row>
    <row r="28" spans="1:29" ht="2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5"/>
      <c r="Q28" s="1352" t="str">
        <f t="shared" si="8"/>
        <v>毗邻道路的类型与等级</v>
      </c>
      <c r="R28" s="705" t="s">
        <v>14</v>
      </c>
      <c r="S28" s="706">
        <f t="shared" si="10"/>
        <v>100</v>
      </c>
      <c r="T28" s="705" t="s">
        <v>14</v>
      </c>
      <c r="U28" s="706">
        <f t="shared" si="11"/>
        <v>100</v>
      </c>
      <c r="V28" s="705" t="s">
        <v>14</v>
      </c>
      <c r="W28" s="706">
        <f t="shared" si="12"/>
        <v>100</v>
      </c>
      <c r="X28" s="1355"/>
      <c r="Y28" s="3725"/>
      <c r="Z28" s="1356" t="str">
        <f t="shared" si="13"/>
        <v>毗邻道路的类型与等级</v>
      </c>
      <c r="AA28" s="1353">
        <f t="shared" si="3"/>
        <v>1</v>
      </c>
      <c r="AB28" s="1353">
        <f t="shared" si="4"/>
        <v>1</v>
      </c>
      <c r="AC28" s="1353">
        <f t="shared" si="5"/>
        <v>1</v>
      </c>
    </row>
    <row r="29" spans="1:29" ht="15.5">
      <c r="A29" s="379"/>
      <c r="B29" s="580"/>
      <c r="C29" s="398"/>
      <c r="D29" s="399"/>
      <c r="E29" s="1904"/>
      <c r="F29" s="399"/>
      <c r="G29" s="1904"/>
      <c r="H29" s="399"/>
      <c r="I29" s="1904"/>
      <c r="J29" s="399"/>
      <c r="K29" s="562"/>
      <c r="L29" s="2720"/>
      <c r="M29" s="2714"/>
      <c r="N29" s="2714"/>
      <c r="O29" s="2772"/>
      <c r="P29" s="3725"/>
      <c r="Q29" s="1352"/>
      <c r="R29" s="705"/>
      <c r="S29" s="706"/>
      <c r="T29" s="705"/>
      <c r="U29" s="706"/>
      <c r="V29" s="705"/>
      <c r="W29" s="706"/>
      <c r="X29" s="1355"/>
      <c r="Y29" s="3725"/>
      <c r="Z29" s="1356"/>
      <c r="AA29" s="1353">
        <v>1</v>
      </c>
      <c r="AB29" s="1353">
        <v>1</v>
      </c>
      <c r="AC29" s="1353">
        <v>1</v>
      </c>
    </row>
    <row r="30" spans="1:29" ht="15.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5"/>
      <c r="Q30" s="1352" t="str">
        <f t="shared" si="8"/>
        <v>土地级别</v>
      </c>
      <c r="R30" s="705" t="s">
        <v>14</v>
      </c>
      <c r="S30" s="706">
        <f t="shared" si="10"/>
        <v>100</v>
      </c>
      <c r="T30" s="705" t="s">
        <v>14</v>
      </c>
      <c r="U30" s="706">
        <f t="shared" si="11"/>
        <v>100</v>
      </c>
      <c r="V30" s="705" t="s">
        <v>14</v>
      </c>
      <c r="W30" s="706">
        <f t="shared" si="12"/>
        <v>100</v>
      </c>
      <c r="X30" s="1355"/>
      <c r="Y30" s="3725"/>
      <c r="Z30" s="1356" t="str">
        <f t="shared" si="13"/>
        <v>土地级别</v>
      </c>
      <c r="AA30" s="1353">
        <f t="shared" si="3"/>
        <v>1</v>
      </c>
      <c r="AB30" s="1353">
        <f t="shared" si="4"/>
        <v>1</v>
      </c>
      <c r="AC30" s="1353">
        <f t="shared" si="5"/>
        <v>1</v>
      </c>
    </row>
    <row r="31" spans="1:29" ht="15.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5"/>
      <c r="Q31" s="1352">
        <f t="shared" si="8"/>
        <v>111</v>
      </c>
      <c r="R31" s="705" t="s">
        <v>14</v>
      </c>
      <c r="S31" s="706">
        <f t="shared" si="10"/>
        <v>100</v>
      </c>
      <c r="T31" s="705" t="s">
        <v>14</v>
      </c>
      <c r="U31" s="706">
        <f t="shared" si="11"/>
        <v>100</v>
      </c>
      <c r="V31" s="705" t="s">
        <v>14</v>
      </c>
      <c r="W31" s="706">
        <f t="shared" si="12"/>
        <v>100</v>
      </c>
      <c r="X31" s="1355"/>
      <c r="Y31" s="3725"/>
      <c r="Z31" s="1356">
        <f t="shared" si="13"/>
        <v>111</v>
      </c>
      <c r="AA31" s="1353">
        <f t="shared" si="3"/>
        <v>1</v>
      </c>
      <c r="AB31" s="1353">
        <f t="shared" si="4"/>
        <v>1</v>
      </c>
      <c r="AC31" s="1353">
        <f t="shared" si="5"/>
        <v>1</v>
      </c>
    </row>
    <row r="32" spans="1:29" ht="15.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9" t="s">
        <v>1696</v>
      </c>
      <c r="Q32" s="1352">
        <f t="shared" si="8"/>
        <v>111</v>
      </c>
      <c r="R32" s="705" t="s">
        <v>14</v>
      </c>
      <c r="S32" s="706">
        <f t="shared" si="10"/>
        <v>100</v>
      </c>
      <c r="T32" s="705" t="s">
        <v>14</v>
      </c>
      <c r="U32" s="706">
        <f t="shared" si="11"/>
        <v>100</v>
      </c>
      <c r="V32" s="705" t="s">
        <v>14</v>
      </c>
      <c r="W32" s="706">
        <f t="shared" si="12"/>
        <v>100</v>
      </c>
      <c r="X32" s="1355"/>
      <c r="Y32" s="3729" t="s">
        <v>1696</v>
      </c>
      <c r="Z32" s="1356">
        <f t="shared" si="13"/>
        <v>111</v>
      </c>
      <c r="AA32" s="1353">
        <f t="shared" si="3"/>
        <v>1</v>
      </c>
      <c r="AB32" s="1353">
        <f t="shared" si="4"/>
        <v>1</v>
      </c>
      <c r="AC32" s="1353">
        <f t="shared" si="5"/>
        <v>1</v>
      </c>
    </row>
    <row r="33" spans="1:31" s="422" customFormat="1" ht="1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9"/>
      <c r="Q33" s="1352">
        <f t="shared" si="8"/>
        <v>111</v>
      </c>
      <c r="R33" s="708" t="s">
        <v>14</v>
      </c>
      <c r="S33" s="709">
        <f t="shared" si="10"/>
        <v>100</v>
      </c>
      <c r="T33" s="708" t="s">
        <v>14</v>
      </c>
      <c r="U33" s="709">
        <f t="shared" si="11"/>
        <v>100</v>
      </c>
      <c r="V33" s="708" t="s">
        <v>14</v>
      </c>
      <c r="W33" s="709">
        <f t="shared" si="12"/>
        <v>100</v>
      </c>
      <c r="X33" s="710"/>
      <c r="Y33" s="3729"/>
      <c r="Z33" s="711">
        <f t="shared" si="13"/>
        <v>111</v>
      </c>
      <c r="AA33" s="1353">
        <f t="shared" si="3"/>
        <v>1</v>
      </c>
      <c r="AB33" s="1353">
        <f t="shared" si="4"/>
        <v>1</v>
      </c>
      <c r="AC33" s="1353">
        <f t="shared" si="5"/>
        <v>1</v>
      </c>
    </row>
    <row r="34" spans="1:31" ht="15.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9"/>
      <c r="Q34" s="1352" t="str">
        <f>B34</f>
        <v>宗地面积</v>
      </c>
      <c r="R34" s="705" t="s">
        <v>14</v>
      </c>
      <c r="S34" s="706" t="e">
        <f t="shared" si="10"/>
        <v>#N/A</v>
      </c>
      <c r="T34" s="705" t="s">
        <v>14</v>
      </c>
      <c r="U34" s="706" t="e">
        <f t="shared" si="11"/>
        <v>#N/A</v>
      </c>
      <c r="V34" s="705" t="s">
        <v>14</v>
      </c>
      <c r="W34" s="706" t="e">
        <f t="shared" si="12"/>
        <v>#N/A</v>
      </c>
      <c r="X34" s="1355"/>
      <c r="Y34" s="3729"/>
      <c r="Z34" s="1356" t="str">
        <f t="shared" si="13"/>
        <v>宗地面积</v>
      </c>
      <c r="AA34" s="1353" t="e">
        <f t="shared" si="3"/>
        <v>#N/A</v>
      </c>
      <c r="AB34" s="1353" t="e">
        <f t="shared" si="4"/>
        <v>#N/A</v>
      </c>
      <c r="AC34" s="1353" t="e">
        <f t="shared" si="5"/>
        <v>#N/A</v>
      </c>
    </row>
    <row r="35" spans="1:31" ht="15.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29"/>
      <c r="Q35" s="1352" t="str">
        <f t="shared" ref="Q35:Q40" si="14">B35</f>
        <v>宗地形状</v>
      </c>
      <c r="R35" s="705" t="s">
        <v>14</v>
      </c>
      <c r="S35" s="706">
        <f t="shared" si="10"/>
        <v>100</v>
      </c>
      <c r="T35" s="705" t="s">
        <v>14</v>
      </c>
      <c r="U35" s="706">
        <f t="shared" si="11"/>
        <v>100</v>
      </c>
      <c r="V35" s="705" t="s">
        <v>14</v>
      </c>
      <c r="W35" s="706">
        <f t="shared" si="12"/>
        <v>100</v>
      </c>
      <c r="X35" s="1355"/>
      <c r="Y35" s="3729"/>
      <c r="Z35" s="1356" t="str">
        <f t="shared" si="13"/>
        <v>宗地形状</v>
      </c>
      <c r="AA35" s="1353">
        <f t="shared" si="3"/>
        <v>1</v>
      </c>
      <c r="AB35" s="1353">
        <f t="shared" si="4"/>
        <v>1</v>
      </c>
      <c r="AC35" s="1353">
        <f t="shared" si="5"/>
        <v>1</v>
      </c>
    </row>
    <row r="36" spans="1:31" s="108" customFormat="1" ht="15.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29"/>
      <c r="Q36" s="1352" t="str">
        <f t="shared" si="14"/>
        <v>宗地开发程度</v>
      </c>
      <c r="R36" s="701" t="s">
        <v>14</v>
      </c>
      <c r="S36" s="702">
        <f t="shared" si="10"/>
        <v>100</v>
      </c>
      <c r="T36" s="701" t="s">
        <v>14</v>
      </c>
      <c r="U36" s="702">
        <f t="shared" si="11"/>
        <v>100</v>
      </c>
      <c r="V36" s="701" t="s">
        <v>14</v>
      </c>
      <c r="W36" s="702">
        <f t="shared" si="12"/>
        <v>100</v>
      </c>
      <c r="X36" s="703"/>
      <c r="Y36" s="3729"/>
      <c r="Z36" s="52" t="str">
        <f t="shared" si="13"/>
        <v>宗地开发程度</v>
      </c>
      <c r="AA36" s="704">
        <f t="shared" si="3"/>
        <v>1</v>
      </c>
      <c r="AB36" s="704">
        <f t="shared" si="4"/>
        <v>1</v>
      </c>
      <c r="AC36" s="704">
        <f t="shared" si="5"/>
        <v>1</v>
      </c>
    </row>
    <row r="37" spans="1:31" ht="15.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29" t="s">
        <v>1696</v>
      </c>
      <c r="Q37" s="1352" t="str">
        <f t="shared" si="14"/>
        <v>工程地质条件</v>
      </c>
      <c r="R37" s="705" t="s">
        <v>14</v>
      </c>
      <c r="S37" s="706">
        <f t="shared" si="10"/>
        <v>100</v>
      </c>
      <c r="T37" s="705" t="s">
        <v>14</v>
      </c>
      <c r="U37" s="706">
        <f t="shared" si="11"/>
        <v>100</v>
      </c>
      <c r="V37" s="705" t="s">
        <v>14</v>
      </c>
      <c r="W37" s="706">
        <f t="shared" si="12"/>
        <v>100</v>
      </c>
      <c r="X37" s="1355"/>
      <c r="Y37" s="3729" t="s">
        <v>1696</v>
      </c>
      <c r="Z37" s="1356" t="str">
        <f t="shared" si="13"/>
        <v>工程地质条件</v>
      </c>
      <c r="AA37" s="1353">
        <f t="shared" si="3"/>
        <v>1</v>
      </c>
      <c r="AB37" s="1353">
        <f t="shared" si="4"/>
        <v>1</v>
      </c>
      <c r="AC37" s="1353">
        <f t="shared" si="5"/>
        <v>1</v>
      </c>
    </row>
    <row r="38" spans="1:31" ht="15.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9"/>
      <c r="Q38" s="1352">
        <f t="shared" si="14"/>
        <v>111</v>
      </c>
      <c r="R38" s="705" t="s">
        <v>14</v>
      </c>
      <c r="S38" s="706">
        <f t="shared" si="10"/>
        <v>100</v>
      </c>
      <c r="T38" s="705" t="s">
        <v>14</v>
      </c>
      <c r="U38" s="706">
        <f t="shared" si="11"/>
        <v>100</v>
      </c>
      <c r="V38" s="705" t="s">
        <v>14</v>
      </c>
      <c r="W38" s="706">
        <f t="shared" si="12"/>
        <v>100</v>
      </c>
      <c r="X38" s="1355"/>
      <c r="Y38" s="3729"/>
      <c r="Z38" s="1356">
        <f t="shared" si="13"/>
        <v>111</v>
      </c>
      <c r="AA38" s="1353">
        <f t="shared" si="3"/>
        <v>1</v>
      </c>
      <c r="AB38" s="1353">
        <f t="shared" si="4"/>
        <v>1</v>
      </c>
      <c r="AC38" s="1353">
        <f t="shared" si="5"/>
        <v>1</v>
      </c>
    </row>
    <row r="39" spans="1:31" ht="15.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9"/>
      <c r="Q39" s="1352">
        <f t="shared" si="14"/>
        <v>111</v>
      </c>
      <c r="R39" s="705" t="s">
        <v>14</v>
      </c>
      <c r="S39" s="706">
        <f t="shared" si="10"/>
        <v>100</v>
      </c>
      <c r="T39" s="705" t="s">
        <v>14</v>
      </c>
      <c r="U39" s="706">
        <f t="shared" si="11"/>
        <v>100</v>
      </c>
      <c r="V39" s="705" t="s">
        <v>14</v>
      </c>
      <c r="W39" s="706">
        <f t="shared" si="12"/>
        <v>100</v>
      </c>
      <c r="X39" s="1355"/>
      <c r="Y39" s="3729"/>
      <c r="Z39" s="1356">
        <f t="shared" si="13"/>
        <v>111</v>
      </c>
      <c r="AA39" s="1353">
        <f t="shared" si="3"/>
        <v>1</v>
      </c>
      <c r="AB39" s="1353">
        <f t="shared" si="4"/>
        <v>1</v>
      </c>
      <c r="AC39" s="1353">
        <f t="shared" si="5"/>
        <v>1</v>
      </c>
    </row>
    <row r="40" spans="1:31" s="422" customFormat="1" ht="1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9"/>
      <c r="Q40" s="1352">
        <f t="shared" si="14"/>
        <v>111</v>
      </c>
      <c r="R40" s="708" t="s">
        <v>14</v>
      </c>
      <c r="S40" s="709">
        <f t="shared" si="10"/>
        <v>100</v>
      </c>
      <c r="T40" s="708" t="s">
        <v>14</v>
      </c>
      <c r="U40" s="709">
        <f t="shared" si="11"/>
        <v>100</v>
      </c>
      <c r="V40" s="708" t="s">
        <v>14</v>
      </c>
      <c r="W40" s="709">
        <f t="shared" si="12"/>
        <v>100</v>
      </c>
      <c r="X40" s="710"/>
      <c r="Y40" s="3729"/>
      <c r="Z40" s="711">
        <f t="shared" si="13"/>
        <v>111</v>
      </c>
      <c r="AA40" s="1353">
        <f t="shared" si="3"/>
        <v>1</v>
      </c>
      <c r="AB40" s="1353">
        <f t="shared" si="4"/>
        <v>1</v>
      </c>
      <c r="AC40" s="1353">
        <f t="shared" si="5"/>
        <v>1</v>
      </c>
    </row>
    <row r="41" spans="1:31">
      <c r="A41" s="430" t="s">
        <v>1844</v>
      </c>
      <c r="B41" s="1981" t="s">
        <v>1922</v>
      </c>
      <c r="C41" s="630" t="s">
        <v>0</v>
      </c>
      <c r="D41" s="432"/>
      <c r="E41" s="433"/>
      <c r="F41" s="434"/>
      <c r="G41" s="435"/>
      <c r="H41" s="436"/>
      <c r="I41" s="433"/>
      <c r="J41" s="436"/>
      <c r="K41" s="714"/>
      <c r="L41" s="2722"/>
      <c r="M41" s="2714"/>
      <c r="N41" s="2714"/>
      <c r="O41" s="2723"/>
      <c r="P41" s="3722" t="str">
        <f>A41</f>
        <v>成交单价</v>
      </c>
      <c r="Q41" s="3722"/>
      <c r="R41" s="3716">
        <f>E41</f>
        <v>0</v>
      </c>
      <c r="S41" s="3716"/>
      <c r="T41" s="3716">
        <f>G41</f>
        <v>0</v>
      </c>
      <c r="U41" s="3716"/>
      <c r="V41" s="3716">
        <f>I41</f>
        <v>0</v>
      </c>
      <c r="W41" s="3716"/>
      <c r="X41" s="690"/>
      <c r="Y41" s="712"/>
      <c r="Z41" s="690"/>
      <c r="AA41" s="690"/>
      <c r="AB41" s="690"/>
      <c r="AC41" s="690"/>
    </row>
    <row r="42" spans="1:31" ht="14.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722" t="str">
        <f>A42</f>
        <v>比较价值（元/平方米）</v>
      </c>
      <c r="Q42" s="3722"/>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4.5" thickBot="1">
      <c r="A43" s="441" t="s">
        <v>1794</v>
      </c>
      <c r="B43" s="442"/>
      <c r="C43" s="443" t="e">
        <f>R43</f>
        <v>#DIV/0!</v>
      </c>
      <c r="D43" s="443"/>
      <c r="E43" s="443"/>
      <c r="F43" s="443"/>
      <c r="G43" s="443"/>
      <c r="H43" s="443"/>
      <c r="I43" s="443"/>
      <c r="J43" s="443"/>
      <c r="K43" s="715"/>
      <c r="L43" s="2722"/>
      <c r="M43" s="2714"/>
      <c r="N43" s="2714"/>
      <c r="O43" s="2723"/>
      <c r="P43" s="3719" t="str">
        <f>A43</f>
        <v>估价对象XX用房的比较价值（楼面单价，元/平方米）</v>
      </c>
      <c r="Q43" s="3720"/>
      <c r="R43" s="3752" t="e">
        <f>ROUND(IF(D42="简单平均",AVERAGE(R42:W42),R42*F42+T42*H42+V42*J42),0)</f>
        <v>#DIV/0!</v>
      </c>
      <c r="S43" s="3752"/>
      <c r="T43" s="3752"/>
      <c r="U43" s="3752"/>
      <c r="V43" s="3752"/>
      <c r="W43" s="375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
      <c r="A50" s="632" t="s">
        <v>1881</v>
      </c>
      <c r="B50" s="633" t="s">
        <v>1882</v>
      </c>
      <c r="C50" s="1982" t="s">
        <v>1883</v>
      </c>
      <c r="D50" s="1983" t="s">
        <v>1884</v>
      </c>
      <c r="E50" s="634" t="s">
        <v>1885</v>
      </c>
      <c r="F50" s="635" t="s">
        <v>1886</v>
      </c>
      <c r="G50" s="3704" t="s">
        <v>1887</v>
      </c>
      <c r="H50" s="3753"/>
      <c r="I50" s="1356" t="s">
        <v>1923</v>
      </c>
      <c r="J50" s="1356">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142.19</v>
      </c>
      <c r="F51" s="639" t="e">
        <f t="shared" ref="F51:F60" si="15">ROUND(B51*E51/10000,0)</f>
        <v>#DIV/0!</v>
      </c>
      <c r="G51" s="3703"/>
      <c r="H51" s="372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c r="A65" s="1988"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4.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8.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4.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4.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8.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8.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4.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4.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4.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8.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4.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4.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4.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4.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30"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ht="13">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13">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t="13">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t="13">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ht="13">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13">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t="13">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ht="13">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ht="13">
      <c r="A19" s="129"/>
      <c r="B19" s="159"/>
      <c r="C19" s="159"/>
      <c r="D19" s="2148" t="s">
        <v>2095</v>
      </c>
      <c r="E19" s="1340"/>
      <c r="F19" s="1340"/>
      <c r="G19" s="1340"/>
      <c r="H19" s="1059"/>
      <c r="I19" s="159"/>
      <c r="J19" s="159"/>
      <c r="K19" s="159"/>
      <c r="L19" s="159"/>
      <c r="M19" s="159"/>
      <c r="N19" s="159"/>
      <c r="O19" s="159"/>
      <c r="P19" s="159"/>
      <c r="Q19" s="159"/>
      <c r="R19" s="718"/>
      <c r="S19" s="129"/>
    </row>
    <row r="20" spans="1:45" ht="16"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ht="13">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ht="13">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ht="13">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ht="13">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ht="13">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ht="13">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ht="13">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ht="13">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ht="13">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ht="13">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ht="13">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ht="13">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ht="13">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ht="13">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ht="13">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ht="13">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ht="13">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ht="13">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ht="13">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ht="13">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ht="13">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ht="13">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ht="13">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ht="13">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ht="13">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ht="13">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ht="13">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ht="13">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ht="13">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ht="13">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ht="13">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ht="13">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ht="13">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ht="13">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ht="13">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ht="13">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ht="13">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ht="13">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ht="13">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ht="13">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ht="13">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ht="13">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ht="13">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ht="13">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ht="13">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ht="13">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ht="13">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ht="13">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ht="13">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ht="13">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ht="13">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ht="13">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ht="13">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ht="13">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ht="13">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ht="13">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ht="13">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ht="13">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ht="13">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ht="13">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ht="13">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ht="13">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ht="13">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ht="13">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ht="13">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ht="13">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ht="13">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ht="13">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ht="13">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ht="13">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ht="13">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ht="13">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ht="13">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ht="13">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ht="13">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ht="13">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ht="13">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ht="13">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ht="13">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ht="13">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ht="13">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ht="13">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ht="13">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ht="13">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ht="13">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ht="13">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ht="13">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ht="13">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ht="13">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ht="13">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ht="13">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ht="13">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ht="13">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ht="13">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ht="13">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ht="13">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ht="13">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ht="13">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ht="13">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ht="13">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ht="13">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ht="13">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ht="13">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ht="13">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ht="13">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ht="13">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ht="13">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ht="13">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ht="13">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ht="13">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ht="13">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ht="13">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ht="13">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ht="13">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ht="13">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ht="13">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ht="13">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ht="13">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ht="13">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ht="13">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ht="13">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ht="13">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ht="13">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ht="13">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ht="13">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ht="13">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ht="13">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ht="13">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ht="13">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ht="13">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ht="13">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ht="13">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ht="13">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ht="13">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ht="13">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ht="13">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ht="13">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ht="13">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ht="13">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ht="13">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ht="13">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ht="13">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ht="13">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ht="13">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ht="13">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ht="13">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ht="13">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ht="13">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ht="13">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ht="13">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ht="13">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ht="13">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ht="13">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ht="13">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ht="13">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ht="13">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ht="13">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ht="13">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ht="13">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ht="13">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ht="13">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ht="13">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ht="13">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ht="13">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ht="13">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ht="13">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ht="13">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ht="13">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ht="13">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ht="13">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ht="13">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ht="13">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ht="13">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ht="13">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ht="13">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ht="13">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ht="13">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ht="13">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ht="13">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ht="13">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ht="13">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ht="13">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ht="13">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ht="13">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ht="13">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ht="13">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ht="13">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ht="13">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ht="13">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ht="13">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ht="13">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ht="13">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ht="13">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ht="13">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ht="13">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ht="13">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ht="13">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ht="13">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ht="13">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ht="13">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ht="13">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ht="13">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ht="13">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ht="13">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ht="13">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ht="13">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ht="13">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ht="13">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ht="13">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ht="13">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ht="13">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ht="13">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ht="13">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ht="13">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ht="13">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ht="13">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ht="13">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ht="13">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ht="13">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ht="13">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ht="13">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ht="13">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ht="13">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ht="13">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ht="13">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ht="13">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ht="13">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ht="13">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ht="13">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ht="13">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ht="13">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ht="13">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ht="13">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ht="13">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ht="13">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ht="13">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ht="13">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ht="13">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ht="13">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ht="13">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ht="13">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ht="13">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ht="13">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ht="13">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ht="13">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ht="13">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ht="13">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ht="13">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ht="13">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ht="13">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ht="13">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ht="13">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ht="13">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ht="13">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ht="13">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ht="13">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ht="13">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ht="13">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ht="13">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ht="13">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ht="13">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ht="13">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ht="13">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ht="13">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ht="13">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ht="13">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ht="13">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ht="13">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ht="13">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ht="13">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ht="13">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ht="13">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ht="13">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ht="13">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ht="13">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ht="13">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ht="13">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ht="13">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ht="13">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ht="13">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ht="13">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ht="13">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ht="13">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ht="13">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ht="13">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ht="13">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ht="13">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ht="13">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ht="13">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ht="13">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ht="13">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ht="13">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ht="13">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ht="13">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ht="13">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ht="13">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ht="13">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ht="13">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ht="13">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ht="13">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ht="13">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ht="13">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ht="13">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ht="13">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ht="13">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ht="13">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ht="13">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ht="13">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ht="13">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ht="13">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ht="13">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ht="13">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ht="13">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ht="13">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ht="13">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ht="13">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ht="13">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ht="13">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ht="13">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ht="13">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ht="13">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ht="13">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ht="13">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ht="13">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ht="13">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ht="13">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ht="13">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ht="13">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ht="13">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ht="13">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ht="13">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ht="13">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ht="13">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ht="13">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ht="13">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ht="13">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ht="13">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ht="13">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ht="13">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ht="13">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ht="13">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ht="13">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ht="13">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ht="13">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ht="13">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ht="13">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ht="13">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ht="13">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ht="13">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ht="13">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ht="13">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ht="13">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ht="13">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ht="13">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ht="13">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ht="13">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ht="13">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ht="13">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ht="13">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ht="13">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ht="13">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ht="13">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ht="13">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ht="13">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ht="13">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ht="13">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ht="13">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ht="13">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ht="13">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ht="13">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ht="13">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ht="13">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ht="13">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ht="13">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ht="13">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ht="13">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ht="13">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ht="13">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ht="13">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ht="13">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ht="13">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ht="13">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ht="13">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ht="13">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ht="13">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ht="13">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ht="13">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ht="13">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ht="13">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ht="13">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ht="13">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ht="13">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ht="13">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ht="13">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ht="13">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ht="13">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ht="13">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ht="13">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ht="13">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ht="13">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ht="13">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ht="13">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ht="13">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ht="13">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ht="13">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ht="13">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ht="13">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ht="13">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ht="13">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ht="13">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ht="13">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ht="13">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ht="13">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ht="13">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ht="13">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ht="13">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ht="13">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ht="13">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ht="13">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ht="13">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ht="13">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ht="13">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ht="13">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ht="13">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ht="13">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ht="13">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ht="13">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ht="13">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ht="13">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ht="13">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ht="13">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ht="13">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ht="13">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ht="13">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ht="13">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ht="13">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ht="13">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ht="13">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ht="13">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ht="13">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ht="13">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ht="13">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ht="13">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ht="13">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ht="13">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ht="13">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ht="13">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ht="13">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ht="13">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ht="13">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ht="13">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ht="13">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ht="13">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ht="13">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ht="13">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ht="13">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ht="13">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ht="13">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ht="13">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ht="13">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ht="13">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ht="13">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ht="13">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ht="13">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ht="13">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ht="13">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ht="13">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ht="13">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ht="13">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ht="13">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ht="13">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ht="13">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ht="13">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ht="13">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ht="13">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ht="13">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ht="13">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ht="13">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ht="13">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ht="13">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ht="13">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ht="13">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ht="13">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ht="13">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ht="13">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ht="13">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ht="13">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ht="13">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ht="13">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ht="13">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ht="13">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ht="13">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ht="13">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ht="13">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ht="13">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ht="13">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ht="13">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ht="13">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ht="13">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ht="13">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ht="13">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ht="13">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477" customWidth="1"/>
    <col min="2" max="2" width="12.453125" style="1477" customWidth="1"/>
    <col min="3" max="3" width="12.08984375" style="1477" customWidth="1"/>
    <col min="4" max="4" width="14.08984375" style="1477" customWidth="1"/>
    <col min="5" max="5" width="12.453125" style="1477" customWidth="1"/>
    <col min="6" max="16384" width="9" style="1477"/>
  </cols>
  <sheetData>
    <row r="1" spans="1:16" ht="21">
      <c r="A1" s="1867" t="s">
        <v>2081</v>
      </c>
      <c r="B1" s="2145"/>
      <c r="C1" s="2145"/>
      <c r="D1" s="2145"/>
      <c r="E1" s="2145"/>
      <c r="F1" s="2791"/>
      <c r="G1" s="2791"/>
      <c r="H1" s="2791"/>
      <c r="I1" s="2791"/>
      <c r="J1" s="2791"/>
      <c r="K1" s="2791"/>
      <c r="L1" s="2791"/>
      <c r="M1" s="2791"/>
      <c r="N1" s="2791"/>
      <c r="O1" s="2791"/>
      <c r="P1" s="2791"/>
    </row>
    <row r="2" spans="1:16" ht="15.5">
      <c r="A2" s="2143" t="s">
        <v>2073</v>
      </c>
      <c r="B2" s="2600">
        <f ca="1">SUMIF(B6:B13,"&lt;&gt;#ref!",B6:B13)</f>
        <v>454</v>
      </c>
      <c r="C2" s="2143" t="s">
        <v>2074</v>
      </c>
      <c r="D2" s="2143" t="s">
        <v>2075</v>
      </c>
      <c r="E2" s="2610">
        <f ca="1">SUMIF(E6:E13,"&lt;&gt;#ref!",E6:E13)</f>
        <v>142.19</v>
      </c>
      <c r="F2" s="2791"/>
      <c r="G2" s="2791"/>
      <c r="H2" s="2791"/>
      <c r="I2" s="2791"/>
      <c r="J2" s="2791"/>
      <c r="K2" s="2791"/>
      <c r="L2" s="2791"/>
      <c r="M2" s="2791"/>
      <c r="N2" s="2791"/>
      <c r="O2" s="2791"/>
      <c r="P2" s="2791"/>
    </row>
    <row r="3" spans="1:16" ht="15.5">
      <c r="A3" s="2143" t="s">
        <v>2076</v>
      </c>
      <c r="B3" s="2600">
        <f ca="1">ROUND(B2*10000/E2,0)</f>
        <v>31929</v>
      </c>
      <c r="C3" s="2143" t="s">
        <v>2082</v>
      </c>
      <c r="D3" s="2791"/>
      <c r="E3" s="2791"/>
      <c r="F3" s="2791"/>
      <c r="G3" s="2791"/>
      <c r="H3" s="2791"/>
      <c r="I3" s="2791"/>
      <c r="J3" s="2791"/>
      <c r="K3" s="2791"/>
      <c r="L3" s="2791"/>
      <c r="M3" s="2791"/>
      <c r="N3" s="2791"/>
      <c r="O3" s="2791"/>
      <c r="P3" s="2791"/>
    </row>
    <row r="4" spans="1:16" ht="15.5">
      <c r="A4" s="2792"/>
      <c r="B4" s="2791"/>
      <c r="C4" s="2791"/>
      <c r="D4" s="2791"/>
      <c r="E4" s="2791"/>
      <c r="F4" s="2791"/>
      <c r="G4" s="2791"/>
      <c r="H4" s="2791"/>
      <c r="I4" s="2791"/>
      <c r="J4" s="2791"/>
      <c r="K4" s="2791"/>
      <c r="L4" s="2791"/>
      <c r="M4" s="2791"/>
      <c r="N4" s="2791"/>
      <c r="O4" s="2791"/>
      <c r="P4" s="2791"/>
    </row>
    <row r="5" spans="1:16" ht="30">
      <c r="A5" s="2606" t="s">
        <v>2077</v>
      </c>
      <c r="B5" s="2608" t="s">
        <v>2078</v>
      </c>
      <c r="C5" s="2144"/>
      <c r="D5" s="2791"/>
      <c r="E5" s="2609" t="s">
        <v>2079</v>
      </c>
      <c r="F5" s="2791"/>
      <c r="G5" s="2791"/>
      <c r="H5" s="2791"/>
      <c r="I5" s="2791"/>
      <c r="J5" s="2791"/>
      <c r="K5" s="2791"/>
      <c r="L5" s="2791"/>
      <c r="M5" s="2791"/>
      <c r="N5" s="2791"/>
      <c r="O5" s="2791"/>
      <c r="P5" s="2791"/>
    </row>
    <row r="6" spans="1:16" ht="15.5">
      <c r="A6" s="2607" t="s">
        <v>2080</v>
      </c>
      <c r="B6" s="2600">
        <f ca="1">SUMIF(INDIRECT("'"&amp;A6&amp;"'"&amp;"!A:A"),"总价",INDIRECT("'"&amp;A6&amp;"'"&amp;"!B:B"))</f>
        <v>454</v>
      </c>
      <c r="C6" s="2143" t="s">
        <v>2074</v>
      </c>
      <c r="D6" s="2791"/>
      <c r="E6" s="2610">
        <f ca="1">SUMIF(INDIRECT("'"&amp;A6&amp;"'"&amp;"!C:C"),"建筑面积",INDIRECT("'"&amp;A6&amp;"'"&amp;"!D:D"))</f>
        <v>142.19</v>
      </c>
      <c r="F6" s="2791"/>
      <c r="G6" s="2791"/>
      <c r="H6" s="2791"/>
      <c r="I6" s="2791"/>
      <c r="J6" s="2791"/>
      <c r="K6" s="2791"/>
      <c r="L6" s="2791"/>
      <c r="M6" s="2791"/>
      <c r="N6" s="2791"/>
      <c r="O6" s="2791"/>
      <c r="P6" s="2791"/>
    </row>
    <row r="7" spans="1:16" ht="15.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7"/>
  <sheetViews>
    <sheetView view="pageBreakPreview" topLeftCell="A31" zoomScale="90" zoomScaleNormal="70" zoomScaleSheetLayoutView="90" workbookViewId="0">
      <selection activeCell="F41" sqref="F41"/>
    </sheetView>
  </sheetViews>
  <sheetFormatPr defaultColWidth="8.36328125" defaultRowHeight="12.5"/>
  <cols>
    <col min="1" max="1" width="9.36328125" style="269" customWidth="1"/>
    <col min="2" max="2" width="29.26953125" style="251" customWidth="1"/>
    <col min="3" max="3" width="12.08984375" style="251" customWidth="1"/>
    <col min="4" max="5" width="11.26953125" style="272" customWidth="1"/>
    <col min="6" max="6" width="9.453125" style="251" customWidth="1"/>
    <col min="7" max="7" width="31.90625" style="251" customWidth="1"/>
    <col min="8" max="8" width="10.7265625" style="251" customWidth="1"/>
    <col min="9" max="254" width="9" style="251" customWidth="1"/>
    <col min="255" max="16384" width="8.36328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789.26319999999998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55508</v>
      </c>
      <c r="C3" s="199" t="s">
        <v>1465</v>
      </c>
      <c r="D3" s="199"/>
      <c r="E3" s="199"/>
      <c r="F3" s="199"/>
      <c r="G3" s="199"/>
    </row>
    <row r="4" spans="1:8" s="208" customFormat="1" ht="16">
      <c r="A4" s="205" t="s">
        <v>1466</v>
      </c>
      <c r="B4" s="206"/>
      <c r="C4" s="206"/>
      <c r="D4" s="206"/>
      <c r="E4" s="206"/>
      <c r="F4" s="206"/>
      <c r="G4" s="207"/>
    </row>
    <row r="5" spans="1:8" s="214" customFormat="1" ht="13.5" customHeight="1">
      <c r="A5" s="255" t="s">
        <v>1467</v>
      </c>
      <c r="B5" s="210" t="s">
        <v>1468</v>
      </c>
      <c r="C5" s="211">
        <f ca="1">C6+C7+C8</f>
        <v>4697687</v>
      </c>
      <c r="D5" s="211" t="s">
        <v>1469</v>
      </c>
      <c r="E5" s="212" t="s">
        <v>1470</v>
      </c>
      <c r="F5" s="212" t="s">
        <v>1471</v>
      </c>
      <c r="G5" s="213"/>
    </row>
    <row r="6" spans="1:8" s="214" customFormat="1" ht="13.5" customHeight="1">
      <c r="A6" s="778" t="s">
        <v>1472</v>
      </c>
      <c r="B6" s="215" t="s">
        <v>1473</v>
      </c>
      <c r="C6" s="216">
        <f>ROUND(基准地价修正!C33*基准地价修正!D33,0)</f>
        <v>4536572</v>
      </c>
      <c r="D6" s="217"/>
      <c r="E6" s="218"/>
      <c r="F6" s="218"/>
      <c r="G6" s="219"/>
    </row>
    <row r="7" spans="1:8" s="214" customFormat="1" ht="13.5" customHeight="1">
      <c r="A7" s="778" t="s">
        <v>1474</v>
      </c>
      <c r="B7" s="215" t="s">
        <v>1475</v>
      </c>
      <c r="C7" s="220">
        <f>ROUND(C6*F7,0)</f>
        <v>138365</v>
      </c>
      <c r="D7" s="220"/>
      <c r="E7" s="218"/>
      <c r="F7" s="221">
        <f>IF(项目基本情况!B8="出让",0,'数据-取费表'!B48+'数据-取费表'!B49)</f>
        <v>3.0499999999999999E-2</v>
      </c>
      <c r="G7" s="219"/>
    </row>
    <row r="8" spans="1:8" s="223" customFormat="1" ht="13">
      <c r="A8" s="778" t="s">
        <v>1476</v>
      </c>
      <c r="B8" s="215" t="s">
        <v>1477</v>
      </c>
      <c r="C8" s="220">
        <f ca="1">IF(G8="已包含在土地购买价格中",0,C9+C10)</f>
        <v>22750</v>
      </c>
      <c r="D8" s="222"/>
      <c r="E8" s="220"/>
      <c r="F8" s="221"/>
      <c r="G8" s="1856" t="s">
        <v>3394</v>
      </c>
    </row>
    <row r="9" spans="1:8" s="214" customFormat="1" ht="13.5" customHeight="1">
      <c r="A9" s="779" t="s">
        <v>355</v>
      </c>
      <c r="B9" s="224" t="s">
        <v>1478</v>
      </c>
      <c r="C9" s="225">
        <f ca="1">ROUND(D9*E9,0)</f>
        <v>22750</v>
      </c>
      <c r="D9" s="845">
        <f ca="1">IF(B1="",'数据-汇总表'!E5,IF(INDIRECT("'数据-取费表'!c"&amp;$G$1)="住宅",INDIRECT("'数据-取费表'!k"&amp;$G$1),0))</f>
        <v>142.19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142.19</v>
      </c>
      <c r="E19" s="211">
        <f>'数据-取费表'!B31</f>
        <v>200</v>
      </c>
      <c r="F19" s="231"/>
      <c r="G19" s="1856" t="s">
        <v>3395</v>
      </c>
    </row>
    <row r="20" spans="1:7" s="214" customFormat="1" ht="13.5" customHeight="1">
      <c r="A20" s="255" t="s">
        <v>1574</v>
      </c>
      <c r="B20" s="210" t="s">
        <v>1575</v>
      </c>
      <c r="C20" s="232">
        <f ca="1">ROUND((C5+C19)*F20,0)</f>
        <v>93954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461342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456879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6">
      <c r="A25" s="780" t="s">
        <v>1476</v>
      </c>
      <c r="B25" s="215" t="s">
        <v>1587</v>
      </c>
      <c r="C25" s="1128">
        <f ca="1">ROUND(IF('数据-取费表'!B22&lt;=1,C20*F22*'数据-取费表'!B22/2,C20*(POWER((1+F22),'数据-取费表'!B22/2)-1)),0)</f>
        <v>4463</v>
      </c>
      <c r="D25" s="238"/>
      <c r="E25" s="241"/>
      <c r="F25" s="239"/>
      <c r="G25" s="242" t="s">
        <v>1588</v>
      </c>
    </row>
    <row r="26" spans="1:7" s="214" customFormat="1" ht="13">
      <c r="A26" s="780" t="s">
        <v>350</v>
      </c>
      <c r="B26" s="215" t="s">
        <v>1511</v>
      </c>
      <c r="C26" s="238">
        <f ca="1">ROUND(IF('数据-取费表'!B22&lt;=1,F21*F22*'数据-取费表'!B22/2,F21*(POWER((1+F22),'数据-取费表'!B22/2)-1)),4)</f>
        <v>1E-3</v>
      </c>
      <c r="D26" s="238"/>
      <c r="E26" s="241"/>
      <c r="F26" s="239"/>
      <c r="G26" s="243"/>
    </row>
    <row r="27" spans="1:7" s="214" customFormat="1" ht="27">
      <c r="A27" s="255" t="s">
        <v>1512</v>
      </c>
      <c r="B27" s="244" t="s">
        <v>1513</v>
      </c>
      <c r="C27" s="245">
        <f ca="1">C28</f>
        <v>1437492</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ROUND((C5+C19+C20)*F27,0)</f>
        <v>1437492</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7274628</v>
      </c>
      <c r="D31" s="230"/>
      <c r="E31" s="211"/>
      <c r="F31" s="250"/>
      <c r="G31" s="234" t="s">
        <v>1522</v>
      </c>
    </row>
    <row r="32" spans="1:7" s="208" customFormat="1" ht="16">
      <c r="A32" s="252" t="s">
        <v>1589</v>
      </c>
      <c r="B32" s="253"/>
      <c r="C32" s="253"/>
      <c r="D32" s="253"/>
      <c r="E32" s="253"/>
      <c r="F32" s="253"/>
      <c r="G32" s="254"/>
    </row>
    <row r="33" spans="1:7" s="214" customFormat="1" ht="13.5" customHeight="1">
      <c r="A33" s="255" t="s">
        <v>337</v>
      </c>
      <c r="B33" s="210" t="s">
        <v>1590</v>
      </c>
      <c r="C33" s="256">
        <f ca="1">SUM(C34:C38)</f>
        <v>651230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568760</v>
      </c>
      <c r="D34" s="217"/>
      <c r="E34" s="220"/>
      <c r="F34" s="257"/>
      <c r="G34" s="219"/>
    </row>
    <row r="35" spans="1:7" ht="13.5" customHeight="1">
      <c r="A35" s="780" t="s">
        <v>351</v>
      </c>
      <c r="B35" s="215" t="s">
        <v>1527</v>
      </c>
      <c r="C35" s="220">
        <f ca="1">ROUND(C34*F35,0)</f>
        <v>17063</v>
      </c>
      <c r="D35" s="220"/>
      <c r="E35" s="220"/>
      <c r="F35" s="259">
        <f>'数据-取费表'!B33</f>
        <v>0.03</v>
      </c>
      <c r="G35" s="219" t="s">
        <v>1528</v>
      </c>
    </row>
    <row r="36" spans="1:7" ht="26">
      <c r="A36" s="780" t="s">
        <v>352</v>
      </c>
      <c r="B36" s="215" t="s">
        <v>1529</v>
      </c>
      <c r="C36" s="220">
        <f ca="1">ROUND(IF(B1="",SUM('数据-取费表'!AP6:AP13)*F36,IF(INDIRECT("'数据-取费表'!c"&amp;$G$1)="住宅",INDIRECT("'数据-取费表'!k"&amp;$G$1)*INDIRECT("'数据-取费表'!l"&amp;$G$1)*F36,0)),0)</f>
        <v>28438</v>
      </c>
      <c r="D36" s="220"/>
      <c r="E36" s="220"/>
      <c r="F36" s="259">
        <f>'数据-取费表'!B34</f>
        <v>0.05</v>
      </c>
      <c r="G36" s="260" t="s">
        <v>1530</v>
      </c>
    </row>
    <row r="37" spans="1:7" s="258" customFormat="1" ht="13.5" customHeight="1">
      <c r="A37" s="780" t="s">
        <v>353</v>
      </c>
      <c r="B37" s="215" t="s">
        <v>1531</v>
      </c>
      <c r="C37" s="249">
        <f ca="1">ROUND(E37*D37,0)</f>
        <v>28438</v>
      </c>
      <c r="D37" s="217">
        <f ca="1">D19</f>
        <v>142.19</v>
      </c>
      <c r="E37" s="249">
        <f>'数据-取费表'!B35</f>
        <v>200</v>
      </c>
      <c r="F37" s="259"/>
      <c r="G37" s="261"/>
    </row>
    <row r="38" spans="1:7" ht="13.5" customHeight="1">
      <c r="A38" s="780" t="s">
        <v>354</v>
      </c>
      <c r="B38" s="215" t="s">
        <v>1533</v>
      </c>
      <c r="C38" s="220">
        <f ca="1">ROUND(C34*F38,0)</f>
        <v>8531</v>
      </c>
      <c r="D38" s="220"/>
      <c r="E38" s="220"/>
      <c r="F38" s="259">
        <f>'数据-取费表'!B36</f>
        <v>1.4999999999999999E-2</v>
      </c>
      <c r="G38" s="219" t="s">
        <v>1528</v>
      </c>
    </row>
    <row r="39" spans="1:7" s="214" customFormat="1" ht="13.5" customHeight="1">
      <c r="A39" s="255" t="s">
        <v>1534</v>
      </c>
      <c r="B39" s="210" t="s">
        <v>1535</v>
      </c>
      <c r="C39" s="232">
        <f ca="1">ROUND(C33*F20,0)</f>
        <v>13025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31552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30933</v>
      </c>
      <c r="D42" s="238"/>
      <c r="E42" s="238"/>
      <c r="F42" s="239"/>
      <c r="G42" s="3657" t="s">
        <v>1591</v>
      </c>
    </row>
    <row r="43" spans="1:7" ht="13.5" customHeight="1">
      <c r="A43" s="780" t="s">
        <v>347</v>
      </c>
      <c r="B43" s="215" t="s">
        <v>1545</v>
      </c>
      <c r="C43" s="238">
        <f ca="1">ROUND(IF('数据-取费表'!B22&lt;=1,C39*F22*'数据-取费表'!B20/2,C39*(POWER((1+F22),'数据-取费表'!B20/2)-1)),0)</f>
        <v>619</v>
      </c>
      <c r="D43" s="238"/>
      <c r="E43" s="238"/>
      <c r="F43" s="239"/>
      <c r="G43" s="3658"/>
    </row>
    <row r="44" spans="1:7" ht="13.5" customHeight="1">
      <c r="A44" s="780" t="s">
        <v>348</v>
      </c>
      <c r="B44" s="215" t="s">
        <v>1546</v>
      </c>
      <c r="C44" s="238">
        <f ca="1">ROUND(IF('数据-取费表'!B22&lt;=1,C40*F22*'数据-取费表'!B20/2,C40*(POWER((1+F22),'数据-取费表'!B20/2)-1)),4)</f>
        <v>1E-3</v>
      </c>
      <c r="D44" s="238"/>
      <c r="E44" s="238"/>
      <c r="F44" s="239"/>
      <c r="G44" s="3659"/>
    </row>
    <row r="45" spans="1:7" s="214" customFormat="1" ht="13.5" customHeight="1">
      <c r="A45" s="255" t="s">
        <v>1547</v>
      </c>
      <c r="B45" s="244" t="s">
        <v>1513</v>
      </c>
      <c r="C45" s="245">
        <f ca="1">C46</f>
        <v>199277</v>
      </c>
      <c r="D45" s="235">
        <f ca="1">C47</f>
        <v>6.0000000000000001E-3</v>
      </c>
      <c r="E45" s="236" t="s">
        <v>1539</v>
      </c>
      <c r="F45" s="246">
        <f ca="1">F27</f>
        <v>0.3</v>
      </c>
      <c r="G45" s="247" t="s">
        <v>1548</v>
      </c>
    </row>
    <row r="46" spans="1:7" s="214" customFormat="1" ht="13.5" customHeight="1">
      <c r="A46" s="780" t="s">
        <v>346</v>
      </c>
      <c r="B46" s="248" t="s">
        <v>1549</v>
      </c>
      <c r="C46" s="249">
        <f ca="1">ROUND((C33+C39)*F27,0)</f>
        <v>199277</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973235</v>
      </c>
      <c r="D49" s="232"/>
      <c r="E49" s="232"/>
      <c r="F49" s="264"/>
      <c r="G49" s="234" t="s">
        <v>1554</v>
      </c>
    </row>
    <row r="50" spans="1:7" s="258" customFormat="1" ht="13.5">
      <c r="A50" s="255" t="s">
        <v>1555</v>
      </c>
      <c r="B50" s="210" t="s">
        <v>1556</v>
      </c>
      <c r="C50" s="232"/>
      <c r="D50" s="232"/>
      <c r="E50" s="232"/>
      <c r="F50" s="264">
        <f>IF('数据-取费表'!B24=0,'数据-取费表'!N16,1)</f>
        <v>0.63500000000000001</v>
      </c>
      <c r="G50" s="247"/>
    </row>
    <row r="51" spans="1:7" ht="16.5" customHeight="1">
      <c r="A51" s="255" t="s">
        <v>1558</v>
      </c>
      <c r="B51" s="210" t="s">
        <v>1593</v>
      </c>
      <c r="C51" s="232">
        <f ca="1">ROUND(C49*F50,0)</f>
        <v>618004</v>
      </c>
      <c r="D51" s="232"/>
      <c r="E51" s="232"/>
      <c r="F51" s="264"/>
      <c r="G51" s="234" t="s">
        <v>1560</v>
      </c>
    </row>
    <row r="52" spans="1:7" s="208" customFormat="1" ht="16.5" thickBot="1">
      <c r="A52" s="265" t="s">
        <v>1561</v>
      </c>
      <c r="B52" s="266"/>
      <c r="C52" s="267">
        <f ca="1">C31+C51</f>
        <v>7892632</v>
      </c>
      <c r="D52" s="266"/>
      <c r="E52" s="266"/>
      <c r="F52" s="266"/>
      <c r="G52" s="268"/>
    </row>
    <row r="55" spans="1:7" ht="15.5">
      <c r="B55" s="270" t="s">
        <v>1562</v>
      </c>
      <c r="C55" s="271"/>
    </row>
    <row r="56" spans="1:7" ht="13">
      <c r="B56" s="273" t="s">
        <v>802</v>
      </c>
      <c r="C56" s="275">
        <f ca="1">1-C57</f>
        <v>0.92200000000000004</v>
      </c>
    </row>
    <row r="57" spans="1:7" ht="13">
      <c r="B57" s="273" t="s">
        <v>803</v>
      </c>
      <c r="C57" s="274">
        <f ca="1">ROUND(C51/C52,3)</f>
        <v>7.8E-2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22"/>
  <sheetViews>
    <sheetView view="pageBreakPreview" zoomScale="90" zoomScaleNormal="80" zoomScaleSheetLayoutView="90" workbookViewId="0">
      <selection activeCell="A80" sqref="A1:J80"/>
    </sheetView>
  </sheetViews>
  <sheetFormatPr defaultColWidth="12" defaultRowHeight="12.5"/>
  <cols>
    <col min="1" max="1" width="9.7265625" style="2051" customWidth="1"/>
    <col min="2" max="2" width="22.453125" style="2142" customWidth="1"/>
    <col min="3" max="3" width="12" style="1997"/>
    <col min="4" max="4" width="14.90625" style="1997" customWidth="1"/>
    <col min="5" max="5" width="14.6328125" style="1997" customWidth="1"/>
    <col min="6" max="8" width="12" style="1997"/>
    <col min="9" max="9" width="12.26953125" style="1997" bestFit="1" customWidth="1"/>
    <col min="10" max="10" width="12" style="1997"/>
    <col min="11" max="11" width="8.08984375" style="2047" customWidth="1"/>
    <col min="12" max="12" width="19.453125" style="1997" customWidth="1"/>
    <col min="13" max="13" width="8.453125" style="1997" customWidth="1"/>
    <col min="14" max="14" width="9.7265625" style="1997" customWidth="1"/>
    <col min="15" max="25" width="12" style="1997"/>
    <col min="26" max="26" width="9.36328125" style="2051" customWidth="1"/>
    <col min="27" max="32" width="9.36328125" style="1121" customWidth="1"/>
    <col min="33" max="36" width="9.36328125" style="2051" customWidth="1"/>
    <col min="37" max="38" width="9.36328125" style="1997" customWidth="1"/>
    <col min="39" max="16384" width="12" style="1997"/>
  </cols>
  <sheetData>
    <row r="1" spans="1:36" ht="30">
      <c r="A1" s="196" t="s">
        <v>1926</v>
      </c>
      <c r="B1" s="197"/>
      <c r="C1" s="201" t="s">
        <v>1927</v>
      </c>
      <c r="D1" s="342">
        <f>SUM(D33:D34,D37:D42)</f>
        <v>142.19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5">
      <c r="A2" s="201" t="s">
        <v>1934</v>
      </c>
      <c r="B2" s="204">
        <f>C30</f>
        <v>454</v>
      </c>
      <c r="C2" s="1998" t="s">
        <v>1935</v>
      </c>
      <c r="D2" s="1999" t="s">
        <v>1936</v>
      </c>
      <c r="E2" s="3420" t="s">
        <v>3378</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Ⅱ—10</v>
      </c>
      <c r="J2" s="2001"/>
      <c r="K2" s="1119"/>
      <c r="L2" s="2002" t="s">
        <v>1939</v>
      </c>
      <c r="M2" s="864">
        <f>SUMPRODUCT((区片价!B10:B29=I2)*(区片价!C3:G3=E2)*(区片价!C10:G29))</f>
        <v>26590</v>
      </c>
      <c r="N2" s="866">
        <f>SUMPRODUCT((因素修正幅度!B10:B29=I2)*(因素修正幅度!C3:G3=E2)*(因素修正幅度!C10:G29))</f>
        <v>8.1000000000000003E-2</v>
      </c>
      <c r="O2" s="1119"/>
      <c r="P2" s="1119"/>
      <c r="Q2" s="1119"/>
      <c r="R2" s="1212">
        <v>1</v>
      </c>
      <c r="S2" s="3359">
        <f>ROUND(SUMPRODUCT((B106:B110=R2)*(C105:N105=G2)*(C106:N110)),4)</f>
        <v>1.5206</v>
      </c>
      <c r="T2" s="3359">
        <f t="shared" ref="T2:T16" si="0">ROUND($C$5*$C$22*$C$23*$C$24*S2*$C$28,0)</f>
        <v>49536</v>
      </c>
      <c r="U2" s="1213"/>
      <c r="V2" s="3359">
        <f>ROUND(T2*U2/10000,0)</f>
        <v>0</v>
      </c>
      <c r="W2" s="1216"/>
      <c r="X2" s="1216"/>
      <c r="Y2" s="1216"/>
      <c r="Z2" s="1216"/>
      <c r="AA2" s="1216"/>
      <c r="AB2" s="1216"/>
      <c r="AC2" s="1217"/>
      <c r="AD2" s="1218"/>
      <c r="AE2" s="1218"/>
      <c r="AF2" s="1218"/>
      <c r="AG2" s="1218"/>
      <c r="AH2" s="1218"/>
      <c r="AI2" s="1218"/>
      <c r="AJ2" s="1219"/>
    </row>
    <row r="3" spans="1:36" ht="15.5">
      <c r="A3" s="203" t="s">
        <v>1940</v>
      </c>
      <c r="B3" s="204">
        <f>ROUND(B2*10000/D1,0)</f>
        <v>31929</v>
      </c>
      <c r="C3" s="1998" t="s">
        <v>1941</v>
      </c>
      <c r="D3" s="1999" t="s">
        <v>1942</v>
      </c>
      <c r="E3" s="3418" t="s">
        <v>3386</v>
      </c>
      <c r="F3" s="2003"/>
      <c r="G3" s="3459">
        <f>IF(F3="宗地容积率",'数据-汇总表'!I4,IF(F3="估价对象容积率",'数据-汇总表'!I6,'数据-汇总表'!I7))</f>
        <v>2.8</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39326</v>
      </c>
      <c r="U3" s="1213"/>
      <c r="V3" s="3359">
        <f t="shared" ref="V3:V16" si="1">ROUND(T3*U3/10000,0)</f>
        <v>0</v>
      </c>
      <c r="W3" s="1216"/>
      <c r="X3" s="1216"/>
      <c r="Y3" s="1216"/>
      <c r="Z3" s="1216"/>
      <c r="AA3" s="1216"/>
      <c r="AB3" s="1216"/>
      <c r="AC3" s="1217"/>
      <c r="AD3" s="1218"/>
      <c r="AE3" s="1218"/>
      <c r="AF3" s="1218"/>
      <c r="AG3" s="1218"/>
      <c r="AH3" s="1218"/>
      <c r="AI3" s="1218"/>
      <c r="AJ3" s="1219"/>
    </row>
    <row r="4" spans="1:36" ht="15.5">
      <c r="A4" s="3771"/>
      <c r="B4" s="3772"/>
      <c r="C4" s="3772"/>
      <c r="D4" s="3773"/>
      <c r="E4" s="3773"/>
      <c r="F4" s="3773"/>
      <c r="G4" s="3773"/>
      <c r="H4" s="3773"/>
      <c r="I4" s="3773"/>
      <c r="J4" s="3774"/>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33981</v>
      </c>
      <c r="U4" s="1213"/>
      <c r="V4" s="3359">
        <f t="shared" si="1"/>
        <v>0</v>
      </c>
      <c r="W4" s="1216"/>
      <c r="X4" s="1216"/>
      <c r="Y4" s="1216"/>
      <c r="Z4" s="1216"/>
      <c r="AA4" s="1216"/>
      <c r="AB4" s="1216"/>
      <c r="AC4" s="1217"/>
      <c r="AD4" s="1218"/>
      <c r="AE4" s="1218"/>
      <c r="AF4" s="1218"/>
      <c r="AG4" s="1218"/>
      <c r="AH4" s="1218"/>
      <c r="AI4" s="1218"/>
      <c r="AJ4" s="1219"/>
    </row>
    <row r="5" spans="1:36" s="2013" customFormat="1" ht="16" thickBot="1">
      <c r="A5" s="2004" t="s">
        <v>362</v>
      </c>
      <c r="B5" s="2005" t="s">
        <v>1947</v>
      </c>
      <c r="C5" s="753">
        <f>ROUND(IF(E2="商业",C6*C7*C17+C20,(IF(E2="住宅",C6*C13*C17+C20,IF(E2="办公",C6*C12*C17+C20,C6+C20)))),0)</f>
        <v>32248</v>
      </c>
      <c r="D5" s="1339">
        <f>ROUND(C6*C17+C20,0)</f>
        <v>26590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30749</v>
      </c>
      <c r="U5" s="1213"/>
      <c r="V5" s="3359">
        <f t="shared" si="1"/>
        <v>0</v>
      </c>
      <c r="W5" s="1216"/>
      <c r="X5" s="1216"/>
      <c r="Y5" s="1216"/>
      <c r="Z5" s="1216"/>
      <c r="AA5" s="1216"/>
      <c r="AB5" s="1216"/>
      <c r="AC5" s="2010"/>
      <c r="AD5" s="2011"/>
      <c r="AE5" s="2011"/>
      <c r="AF5" s="2011"/>
      <c r="AG5" s="2011"/>
      <c r="AH5" s="2011"/>
      <c r="AI5" s="2011"/>
      <c r="AJ5" s="2012"/>
    </row>
    <row r="6" spans="1:36" ht="16" thickBot="1">
      <c r="A6" s="2014" t="s">
        <v>1949</v>
      </c>
      <c r="B6" s="2015" t="s">
        <v>1950</v>
      </c>
      <c r="C6" s="754">
        <f>SUMIF(L1:L12,G2,M1:M12)</f>
        <v>26590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29306</v>
      </c>
      <c r="U6" s="1213"/>
      <c r="V6" s="3359">
        <f t="shared" si="1"/>
        <v>0</v>
      </c>
      <c r="W6" s="1216"/>
      <c r="X6" s="1216"/>
      <c r="Y6" s="1216"/>
      <c r="Z6" s="1216"/>
      <c r="AA6" s="1216"/>
      <c r="AB6" s="1216"/>
      <c r="AC6" s="2010"/>
      <c r="AD6" s="2011"/>
      <c r="AE6" s="2011"/>
      <c r="AF6" s="2011"/>
      <c r="AG6" s="2011"/>
      <c r="AH6" s="2011"/>
      <c r="AI6" s="2011"/>
      <c r="AJ6" s="2012"/>
    </row>
    <row r="7" spans="1:36" ht="26.5" thickBot="1">
      <c r="A7" s="3302" t="s">
        <v>3242</v>
      </c>
      <c r="B7" s="2020" t="s">
        <v>1952</v>
      </c>
      <c r="C7" s="755">
        <f>IF(C8="不临65条商业街",1,ROUND(1+(1.6*E8+1.2*E9+0.8*E10+0.4*E11)*C9,4))</f>
        <v>1</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二级</v>
      </c>
      <c r="Y7" s="1214" t="s">
        <v>1956</v>
      </c>
      <c r="Z7" s="1215">
        <f>G3</f>
        <v>2.8</v>
      </c>
      <c r="AA7" s="1216"/>
      <c r="AB7" s="1216"/>
      <c r="AC7" s="1217"/>
      <c r="AD7" s="1218"/>
      <c r="AE7" s="1218"/>
      <c r="AF7" s="1218"/>
      <c r="AG7" s="1218"/>
      <c r="AH7" s="1218"/>
      <c r="AI7" s="1218"/>
      <c r="AJ7" s="1219"/>
    </row>
    <row r="8" spans="1:36" ht="25">
      <c r="A8" s="3297"/>
      <c r="B8" s="170" t="s">
        <v>1957</v>
      </c>
      <c r="C8" s="2025" t="s">
        <v>3430</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68" t="s">
        <v>1960</v>
      </c>
      <c r="X8" s="376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70"/>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7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6"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7" thickBot="1">
      <c r="A12" s="3302" t="s">
        <v>3243</v>
      </c>
      <c r="B12" s="3303" t="s">
        <v>3244</v>
      </c>
      <c r="C12" s="3304"/>
      <c r="D12" s="3305" t="s">
        <v>3245</v>
      </c>
      <c r="E12" s="3306" t="s">
        <v>3246</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26.5" thickBot="1">
      <c r="A13" s="3302" t="s">
        <v>3247</v>
      </c>
      <c r="B13" s="2033" t="s">
        <v>1982</v>
      </c>
      <c r="C13" s="755">
        <f>ROUND(C16*D16*E16*F16*G16*H16*I16*J16,4)</f>
        <v>1.2128000000000001</v>
      </c>
      <c r="D13" s="2034" t="s">
        <v>1983</v>
      </c>
      <c r="E13" s="2035"/>
      <c r="F13" s="2035"/>
      <c r="G13" s="2036"/>
      <c r="H13" s="2036"/>
      <c r="I13" s="2036"/>
      <c r="J13" s="2037"/>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26">
      <c r="A14" s="3296"/>
      <c r="B14" s="2039" t="s">
        <v>1985</v>
      </c>
      <c r="C14" s="2040"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5">
      <c r="A15" s="3296"/>
      <c r="B15" s="2041"/>
      <c r="C15" s="2042" t="s">
        <v>3388</v>
      </c>
      <c r="D15" s="2043" t="s">
        <v>3388</v>
      </c>
      <c r="E15" s="2043" t="s">
        <v>3387</v>
      </c>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6" thickBot="1">
      <c r="A16" s="3296"/>
      <c r="B16" s="3318" t="s">
        <v>1989</v>
      </c>
      <c r="C16" s="3316">
        <v>1.1000000000000001</v>
      </c>
      <c r="D16" s="3316">
        <v>1.05</v>
      </c>
      <c r="E16" s="3316">
        <v>1.05</v>
      </c>
      <c r="F16" s="3316">
        <v>1</v>
      </c>
      <c r="G16" s="3316">
        <v>1</v>
      </c>
      <c r="H16" s="3316">
        <v>1</v>
      </c>
      <c r="I16" s="3316">
        <v>1</v>
      </c>
      <c r="J16" s="3317">
        <v>1</v>
      </c>
      <c r="K16" s="1119"/>
      <c r="L16" s="1996"/>
      <c r="M16" s="1996"/>
      <c r="N16" s="1996"/>
      <c r="O16" s="1996"/>
      <c r="P16" s="1996"/>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ht="26">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
      <c r="A18" s="3331"/>
      <c r="B18" s="3008"/>
      <c r="C18" s="3326"/>
      <c r="D18" s="3321" t="s">
        <v>3253</v>
      </c>
      <c r="E18" s="3327"/>
      <c r="F18" s="3322" t="s">
        <v>3256</v>
      </c>
      <c r="G18" s="3326">
        <f>ROUND(1-(1/(POWER(1+G24,E18))),4)</f>
        <v>0</v>
      </c>
      <c r="H18" s="3322" t="s">
        <v>3258</v>
      </c>
      <c r="I18" s="3326">
        <f>ROUND(1-(1/(POWER(1+G24,J24))),4)</f>
        <v>0.96709999999999996</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3" customFormat="1" ht="14.5" thickBot="1">
      <c r="A19" s="3333"/>
      <c r="B19" s="3334"/>
      <c r="C19" s="3335"/>
      <c r="D19" s="3335" t="s">
        <v>3254</v>
      </c>
      <c r="E19" s="3336"/>
      <c r="F19" s="3337" t="s">
        <v>3257</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3" customFormat="1" ht="14">
      <c r="A20" s="3775" t="s">
        <v>3259</v>
      </c>
      <c r="B20" s="167" t="s">
        <v>1994</v>
      </c>
      <c r="C20" s="3323">
        <f>ROUND(IF(F21="与级别开发程度一致",0,(G21-E21)/C21),0)</f>
        <v>0</v>
      </c>
      <c r="D20" s="3339" t="s">
        <v>1998</v>
      </c>
      <c r="E20" s="3340"/>
      <c r="F20" s="3781" t="s">
        <v>1995</v>
      </c>
      <c r="G20" s="3782"/>
      <c r="H20" s="3324"/>
      <c r="I20" s="3324"/>
      <c r="J20" s="3325"/>
      <c r="K20" s="2045"/>
      <c r="L20" s="2045"/>
      <c r="M20" s="2045"/>
      <c r="N20" s="2045"/>
      <c r="O20" s="2046"/>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5.5" thickBot="1">
      <c r="A21" s="3776"/>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375</v>
      </c>
      <c r="F21" s="2154" t="s">
        <v>3389</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4.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5.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2" t="s">
        <v>2002</v>
      </c>
      <c r="E23" s="761">
        <v>44197</v>
      </c>
      <c r="F23" s="2052" t="s">
        <v>2003</v>
      </c>
      <c r="G23" s="762">
        <f>'数据-取费表'!B2</f>
        <v>45072</v>
      </c>
      <c r="H23" s="3341" t="s">
        <v>3261</v>
      </c>
      <c r="I23" s="3342" t="str">
        <f>IF(H23="季度增幅（自定义）",SUMIF(N25:N28,E2,O25:O28),"")</f>
        <v/>
      </c>
      <c r="J23" s="3444" t="s">
        <v>3260</v>
      </c>
      <c r="K23" s="1125"/>
      <c r="L23" s="2053" t="s">
        <v>2004</v>
      </c>
      <c r="M23" s="1328">
        <f>ROUND(SUMIF(地价!B2:G2,E2,地价!B16:G16),0)</f>
        <v>687</v>
      </c>
      <c r="N23" s="2054"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3" customFormat="1" ht="26.5" thickBot="1">
      <c r="A24" s="2056" t="s">
        <v>365</v>
      </c>
      <c r="B24" s="2057" t="s">
        <v>2006</v>
      </c>
      <c r="C24" s="764">
        <f>ROUND(POWER(1+G24,J24-I24)*(POWER(1+G24,I24)-1)/(POWER(1+G24,J24)-1),4)</f>
        <v>0.90080000000000005</v>
      </c>
      <c r="D24" s="2058" t="s">
        <v>2007</v>
      </c>
      <c r="E24" s="1335">
        <f>存贷款利率!E22/100</f>
        <v>4.3499999999999997E-2</v>
      </c>
      <c r="F24" s="2058" t="s">
        <v>1999</v>
      </c>
      <c r="G24" s="768">
        <f>SUMIF(M30:Q30,E2,M33:Q33)</f>
        <v>0.05</v>
      </c>
      <c r="H24" s="2058" t="s">
        <v>2008</v>
      </c>
      <c r="I24" s="769">
        <f>SUMIF('数据-取费表'!C6:C15,E2,'数据-取费表'!F6:F15)/COUNTIF('数据-取费表'!C6:C15,E2)</f>
        <v>42</v>
      </c>
      <c r="J24" s="770">
        <f>IF(E2="住宅",70,IF(E2="商业",40,50))</f>
        <v>70</v>
      </c>
      <c r="K24" s="1125"/>
      <c r="L24" s="2059" t="s">
        <v>2009</v>
      </c>
      <c r="M24" s="1329">
        <f>ROUND(SUMPRODUCT((地价!A4:A16=YEAR(G23)&amp;"-"&amp;ROUNDUP(MONTH(G23)/3,0))*(地价!B2:G2=E2)*(地价!B4:G16)),0)</f>
        <v>0</v>
      </c>
      <c r="N24" s="2060" t="s">
        <v>2010</v>
      </c>
      <c r="O24" s="2061" t="s">
        <v>2011</v>
      </c>
      <c r="P24" s="2062"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
      <c r="A25" s="2063" t="s">
        <v>366</v>
      </c>
      <c r="B25" s="2064" t="s">
        <v>3340</v>
      </c>
      <c r="C25" s="771">
        <f>IF(B25="容积率修正",IF(G3&lt;10,D26,J26),C27)</f>
        <v>0.97940000000000005</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5">
      <c r="A26" s="1954" t="s">
        <v>2014</v>
      </c>
      <c r="B26" s="2068" t="s">
        <v>2015</v>
      </c>
      <c r="C26" s="3343" t="s">
        <v>3262</v>
      </c>
      <c r="D26" s="1352">
        <f>IF(E26=G26,F26,IF(G3&lt;10,ROUND(F26+(H26-F26)*(G3-E26)/(G26-E26),4),"——"))</f>
        <v>0.97940000000000005</v>
      </c>
      <c r="E26" s="752">
        <f>ROUNDDOWN(G3,1)</f>
        <v>2.8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0.97940000000000005</v>
      </c>
      <c r="G26" s="752">
        <f>ROUNDUP(G3,1)</f>
        <v>2.8</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0.97940000000000005</v>
      </c>
      <c r="I26" s="3343" t="s">
        <v>3263</v>
      </c>
      <c r="J26" s="772" t="str">
        <f>IF(G3&gt;=10,D115,"——")</f>
        <v>——</v>
      </c>
      <c r="K26" s="1125"/>
      <c r="L26" s="2786"/>
      <c r="M26" s="2786"/>
      <c r="N26" s="2067"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 thickBot="1">
      <c r="A27" s="1954" t="s">
        <v>2017</v>
      </c>
      <c r="B27" s="2069" t="s">
        <v>2018</v>
      </c>
      <c r="C27" s="841">
        <f>ROUND(IF(I3&lt;6,SUMPRODUCT((B106:B110=I3)*(C105:N105=G2)*(C106:N110)),SUMIF(C105:N105,G2,C112:N112)),4)</f>
        <v>0</v>
      </c>
      <c r="D27" s="2044"/>
      <c r="E27" s="2044"/>
      <c r="F27" s="2070"/>
      <c r="G27" s="2071"/>
      <c r="H27" s="2072"/>
      <c r="I27" s="2073"/>
      <c r="J27" s="2074"/>
      <c r="K27" s="1119"/>
      <c r="L27" s="1996"/>
      <c r="M27" s="1996"/>
      <c r="N27" s="2067"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4.5" thickBot="1">
      <c r="A28" s="2056" t="s">
        <v>367</v>
      </c>
      <c r="B28" s="2049" t="s">
        <v>2020</v>
      </c>
      <c r="C28" s="760">
        <f>SUMIF(A47:A101,E2,B47:B101)</f>
        <v>1.0466</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4.5" thickBot="1">
      <c r="A29" s="2056" t="s">
        <v>368</v>
      </c>
      <c r="B29" s="2078" t="s">
        <v>2022</v>
      </c>
      <c r="C29" s="765"/>
      <c r="D29" s="2023"/>
      <c r="E29" s="2023"/>
      <c r="F29" s="2079"/>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
      <c r="A30" s="2080"/>
      <c r="B30" s="2068" t="s">
        <v>2024</v>
      </c>
      <c r="C30" s="2319">
        <f>IF(B25="容积率修正",E33+SUM(E37:E42),SUM(V2:V16)+SUM(E37:E42))</f>
        <v>454</v>
      </c>
      <c r="D30" s="2081"/>
      <c r="E30" s="2044"/>
      <c r="F30" s="2082"/>
      <c r="G30" s="2044"/>
      <c r="H30" s="2044"/>
      <c r="I30" s="2044"/>
      <c r="J30" s="2083"/>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4.5" thickBot="1">
      <c r="A31" s="2080"/>
      <c r="B31" s="2084" t="s">
        <v>2025</v>
      </c>
      <c r="C31" s="766">
        <f>E34+SUM(I37:I42)</f>
        <v>0</v>
      </c>
      <c r="D31" s="2085"/>
      <c r="E31" s="2086"/>
      <c r="F31" s="2087"/>
      <c r="G31" s="2086"/>
      <c r="H31" s="2086"/>
      <c r="I31" s="2086"/>
      <c r="J31" s="2088"/>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4.5" thickBot="1">
      <c r="A32" s="2089"/>
      <c r="B32" s="2090" t="s">
        <v>2026</v>
      </c>
      <c r="C32" s="2091" t="s">
        <v>2027</v>
      </c>
      <c r="D32" s="2091" t="s">
        <v>2028</v>
      </c>
      <c r="E32" s="2092" t="s">
        <v>2029</v>
      </c>
      <c r="F32" s="2093"/>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
      <c r="A33" s="2094"/>
      <c r="B33" s="2095" t="s">
        <v>2030</v>
      </c>
      <c r="C33" s="175">
        <f>ROUND(C5*C22*C23*C24*C25*C28,0)</f>
        <v>31905</v>
      </c>
      <c r="D33" s="2096">
        <f>'数据-汇总表'!F19</f>
        <v>142.19</v>
      </c>
      <c r="E33" s="773">
        <f>ROUND(C33*D33/10000,0)</f>
        <v>454</v>
      </c>
      <c r="F33" s="3344" t="s">
        <v>3265</v>
      </c>
      <c r="G33" s="2097"/>
      <c r="H33" s="2097"/>
      <c r="I33" s="2097"/>
      <c r="J33" s="2098"/>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6.5" thickBot="1">
      <c r="A34" s="2099"/>
      <c r="B34" s="2100" t="s">
        <v>2031</v>
      </c>
      <c r="C34" s="187">
        <f>ROUND(IF(E2="工业",C33*M42,IF(B25="楼层修正",SUM(V2:V16)*M41*10000/D34,C33*M41)),0)</f>
        <v>7976</v>
      </c>
      <c r="D34" s="2101"/>
      <c r="E34" s="773">
        <f>ROUND(IF(B25="楼层修正",SUM(V2:V16)*M40,C34*D34/10000),0)</f>
        <v>0</v>
      </c>
      <c r="F34" s="2102" t="s">
        <v>2032</v>
      </c>
      <c r="G34" s="2103"/>
      <c r="H34" s="2103"/>
      <c r="I34" s="2103"/>
      <c r="J34" s="2104"/>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ht="13">
      <c r="A35" s="2105"/>
      <c r="B35" s="2106" t="s">
        <v>2033</v>
      </c>
      <c r="C35" s="3345" t="s">
        <v>3266</v>
      </c>
      <c r="D35" s="2036"/>
      <c r="E35" s="2107"/>
      <c r="F35" s="2107"/>
      <c r="G35" s="2034" t="s">
        <v>2034</v>
      </c>
      <c r="H35" s="2036"/>
      <c r="I35" s="2108"/>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6.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6.5" thickBot="1">
      <c r="A37" s="3779"/>
      <c r="B37" s="2111" t="s">
        <v>2036</v>
      </c>
      <c r="C37" s="175">
        <f>ROUND(D5*C22*C23*C24*C28*F37,0)</f>
        <v>18803</v>
      </c>
      <c r="D37" s="2096"/>
      <c r="E37" s="171">
        <f>ROUND(C37*D37/10000,0)</f>
        <v>0</v>
      </c>
      <c r="F37" s="171">
        <f>SUMIF(修正!A57:A68,G2,修正!B57:B68)</f>
        <v>0.7</v>
      </c>
      <c r="G37" s="171">
        <f>ROUND(IF(E2="工业",C37*$M$42,C37*$M$41),0)</f>
        <v>4701</v>
      </c>
      <c r="H37" s="171">
        <f>D37</f>
        <v>0</v>
      </c>
      <c r="I37" s="171">
        <f>ROUND(G37*H37/10000,0)</f>
        <v>0</v>
      </c>
      <c r="J37" s="3010"/>
      <c r="K37" s="3357" t="s">
        <v>3271</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ht="13">
      <c r="A38" s="3780"/>
      <c r="B38" s="2040" t="s">
        <v>2037</v>
      </c>
      <c r="C38" s="175">
        <f>ROUND(D5*C22*C23*C24*C28*F38,0)</f>
        <v>10744</v>
      </c>
      <c r="D38" s="2096"/>
      <c r="E38" s="171">
        <f t="shared" ref="E38:E42" si="4">ROUND(C38*D38/10000,0)</f>
        <v>0</v>
      </c>
      <c r="F38" s="171">
        <f>SUMIF(修正!A57:A68,G2,修正!C57:C68)</f>
        <v>0.4</v>
      </c>
      <c r="G38" s="171">
        <f>ROUND(IF(E2="工业",C38*$M$42,C38*$M$41),0)</f>
        <v>2686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80"/>
      <c r="B39" s="2040" t="s">
        <v>3264</v>
      </c>
      <c r="C39" s="175">
        <f>ROUND(D5*C22*C23*C24*C28*F39,0)</f>
        <v>8058</v>
      </c>
      <c r="D39" s="2096"/>
      <c r="E39" s="171">
        <f t="shared" si="4"/>
        <v>0</v>
      </c>
      <c r="F39" s="171">
        <f>SUMIF(修正!A57:A68,G2,修正!D57:D68)</f>
        <v>0.3</v>
      </c>
      <c r="G39" s="171">
        <f>ROUND(IF(E2="工业",C39*$M$42,C39*$M$41),0)</f>
        <v>2015</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ht="13">
      <c r="A40" s="2113"/>
      <c r="B40" s="2040" t="s">
        <v>2038</v>
      </c>
      <c r="C40" s="171">
        <f>ROUND(D5*C22*C23*C24*C28*F40,0)</f>
        <v>8058</v>
      </c>
      <c r="D40" s="2096"/>
      <c r="E40" s="171">
        <f t="shared" si="4"/>
        <v>0</v>
      </c>
      <c r="F40" s="175">
        <f>SUMIF(修正!A57:A68,G2,修正!E57:E68)</f>
        <v>0.3</v>
      </c>
      <c r="G40" s="171">
        <f>ROUND(IF(E2="工业",C40*$M$42,C40*$M$41),0)</f>
        <v>2015</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ht="13">
      <c r="A41" s="2113"/>
      <c r="B41" s="2040"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3272</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0.2</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13">
      <c r="A44" s="1120"/>
      <c r="B44" s="2152" t="s">
        <v>2122</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4.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 hidden="1">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6" hidden="1">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7.5" hidden="1">
      <c r="A50" s="2128" t="s">
        <v>2052</v>
      </c>
      <c r="B50" s="2131"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0" hidden="1">
      <c r="A51" s="2128" t="s">
        <v>2053</v>
      </c>
      <c r="B51" s="2132"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9" hidden="1">
      <c r="A52" s="3367" t="s">
        <v>3274</v>
      </c>
      <c r="B52" s="2132">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9" hidden="1">
      <c r="A53" s="2128" t="s">
        <v>2054</v>
      </c>
      <c r="B53" s="2133" t="s">
        <v>2055</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6" hidden="1">
      <c r="A54" s="2128" t="s">
        <v>2056</v>
      </c>
      <c r="B54" s="2132">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6" hidden="1">
      <c r="A55" s="2128" t="s">
        <v>2057</v>
      </c>
      <c r="B55" s="2134" t="s">
        <v>2058</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 hidden="1">
      <c r="A56" s="2135" t="s">
        <v>2059</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 hidden="1">
      <c r="A57" s="2135" t="s">
        <v>2060</v>
      </c>
      <c r="B57" s="2132"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5" hidden="1" thickBot="1">
      <c r="A58" s="2136" t="s">
        <v>2061</v>
      </c>
      <c r="B58" s="2137"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 hidden="1">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6" hidden="1">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7.5" hidden="1">
      <c r="A61" s="2128" t="s">
        <v>2064</v>
      </c>
      <c r="B61" s="2131"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0" hidden="1">
      <c r="A62" s="2128" t="s">
        <v>2053</v>
      </c>
      <c r="B62" s="2132"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9" hidden="1">
      <c r="A63" s="3367" t="s">
        <v>3274</v>
      </c>
      <c r="B63" s="2132">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9" hidden="1">
      <c r="A64" s="2128" t="s">
        <v>2054</v>
      </c>
      <c r="B64" s="2133" t="s">
        <v>2055</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6" hidden="1">
      <c r="A65" s="2128" t="s">
        <v>2056</v>
      </c>
      <c r="B65" s="2132">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6" hidden="1">
      <c r="A66" s="2128" t="s">
        <v>2057</v>
      </c>
      <c r="B66" s="2134" t="s">
        <v>2058</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 hidden="1">
      <c r="A67" s="2128" t="s">
        <v>2059</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 hidden="1">
      <c r="A68" s="2128" t="s">
        <v>2060</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5" hidden="1" thickBot="1">
      <c r="A69" s="2136" t="s">
        <v>2061</v>
      </c>
      <c r="B69" s="2138"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
      <c r="A70" s="2124" t="s">
        <v>2065</v>
      </c>
      <c r="B70" s="2125">
        <f>1+E72</f>
        <v>1.0466</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6">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0">
      <c r="A72" s="2128" t="s">
        <v>2066</v>
      </c>
      <c r="B72" s="2131" t="str">
        <f>估价对象房地状况!C15</f>
        <v>估价对象周边居住用地比例、居住小区规模和社区发展完善程度，综合评价居住社区成熟度一般</v>
      </c>
      <c r="C72" s="2043" t="str">
        <f>'比较法-住宅'!C16</f>
        <v>较好</v>
      </c>
      <c r="D72" s="1065">
        <f t="shared" ref="D72:D80" si="17">SUMIF($J$71:$N$71,C72,J72:N72)</f>
        <v>8.0999999999999996E-3</v>
      </c>
      <c r="E72" s="744">
        <f>ROUND(SUM(D72:D80),4)</f>
        <v>4.6600000000000003E-2</v>
      </c>
      <c r="F72" s="1814">
        <f>IF(E2="住宅",SUMIF(L1:L12,G2,N1:N12),"——")</f>
        <v>8.1000000000000003E-2</v>
      </c>
      <c r="G72" s="1063">
        <v>8.0999999999999996E-3</v>
      </c>
      <c r="H72" s="1066">
        <f t="shared" ref="H72:H80" si="18">IFERROR(ROUNDDOWN($F$72*I72/2,4),"——")</f>
        <v>8.0999999999999996E-3</v>
      </c>
      <c r="I72" s="3365">
        <v>0.2</v>
      </c>
      <c r="J72" s="1064">
        <f t="shared" ref="J72:J80" si="19">K72+$G72</f>
        <v>1.6199999999999999E-2</v>
      </c>
      <c r="K72" s="1064">
        <f t="shared" ref="K72:K80" si="20">$L72+$G72</f>
        <v>8.0999999999999996E-3</v>
      </c>
      <c r="L72" s="1064">
        <v>0</v>
      </c>
      <c r="M72" s="1064">
        <f t="shared" ref="M72:N80" si="21">L72-$G72</f>
        <v>-8.0999999999999996E-3</v>
      </c>
      <c r="N72" s="1064">
        <f t="shared" si="21"/>
        <v>-1.6199999999999999E-2</v>
      </c>
      <c r="AA72" s="1120"/>
      <c r="AB72" s="1120"/>
      <c r="AC72" s="1120"/>
      <c r="AD72" s="1120"/>
      <c r="AE72" s="1120"/>
      <c r="AF72" s="1120"/>
      <c r="AG72" s="1120"/>
      <c r="AH72" s="1120"/>
      <c r="AI72" s="1120"/>
      <c r="AJ72" s="1120"/>
      <c r="AK72" s="1120"/>
    </row>
    <row r="73" spans="1:37" s="1119" customFormat="1" ht="50">
      <c r="A73" s="2128" t="s">
        <v>2053</v>
      </c>
      <c r="B73" s="2132" t="str">
        <f>估价对象房地状况!C18</f>
        <v>估价对象周边道路状况、公共交通通达情况、停车便捷程度，综合评价交通便捷度较好</v>
      </c>
      <c r="C73" s="2043" t="str">
        <f>'比较法-住宅'!C18</f>
        <v>较好</v>
      </c>
      <c r="D73" s="1065">
        <f t="shared" si="17"/>
        <v>1.0500000000000001E-2</v>
      </c>
      <c r="E73" s="747"/>
      <c r="F73" s="1814"/>
      <c r="G73" s="1063">
        <v>1.0500000000000001E-2</v>
      </c>
      <c r="H73" s="1066">
        <f t="shared" si="18"/>
        <v>1.0500000000000001E-2</v>
      </c>
      <c r="I73" s="3365">
        <v>0.26</v>
      </c>
      <c r="J73" s="1064">
        <f t="shared" si="19"/>
        <v>2.1000000000000001E-2</v>
      </c>
      <c r="K73" s="1064">
        <f t="shared" si="20"/>
        <v>1.0500000000000001E-2</v>
      </c>
      <c r="L73" s="1064">
        <v>0</v>
      </c>
      <c r="M73" s="1064">
        <f t="shared" si="21"/>
        <v>-1.0500000000000001E-2</v>
      </c>
      <c r="N73" s="1064">
        <f t="shared" si="21"/>
        <v>-2.1000000000000001E-2</v>
      </c>
      <c r="AA73" s="1120"/>
      <c r="AB73" s="1120"/>
      <c r="AC73" s="1120"/>
      <c r="AD73" s="1120"/>
      <c r="AE73" s="1120"/>
      <c r="AF73" s="1120"/>
      <c r="AG73" s="1120"/>
      <c r="AH73" s="1120"/>
      <c r="AI73" s="1120"/>
      <c r="AJ73" s="1120"/>
      <c r="AK73" s="1120"/>
    </row>
    <row r="74" spans="1:37" s="1996" customFormat="1" ht="39">
      <c r="A74" s="3367" t="s">
        <v>3274</v>
      </c>
      <c r="B74" s="2132">
        <f>估价对象房地状况!C19</f>
        <v>0</v>
      </c>
      <c r="C74" s="2043" t="s">
        <v>3392</v>
      </c>
      <c r="D74" s="1065">
        <f t="shared" si="17"/>
        <v>4.0000000000000001E-3</v>
      </c>
      <c r="E74" s="747"/>
      <c r="F74" s="1814"/>
      <c r="G74" s="1063">
        <v>4.0000000000000001E-3</v>
      </c>
      <c r="H74" s="1066">
        <f t="shared" si="18"/>
        <v>4.0000000000000001E-3</v>
      </c>
      <c r="I74" s="3365">
        <v>0.1</v>
      </c>
      <c r="J74" s="1064">
        <f t="shared" si="19"/>
        <v>8.0000000000000002E-3</v>
      </c>
      <c r="K74" s="1064">
        <f t="shared" si="20"/>
        <v>4.0000000000000001E-3</v>
      </c>
      <c r="L74" s="1064">
        <v>0</v>
      </c>
      <c r="M74" s="1064">
        <f t="shared" si="21"/>
        <v>-4.0000000000000001E-3</v>
      </c>
      <c r="N74" s="1064">
        <f t="shared" si="21"/>
        <v>-8.0000000000000002E-3</v>
      </c>
      <c r="O74" s="1119"/>
      <c r="P74" s="1119"/>
      <c r="Q74" s="1119"/>
      <c r="AA74" s="2139"/>
      <c r="AB74" s="1120"/>
      <c r="AC74" s="1120"/>
      <c r="AD74" s="1120"/>
      <c r="AE74" s="1120"/>
      <c r="AF74" s="1120"/>
      <c r="AG74" s="1120"/>
      <c r="AH74" s="2139"/>
      <c r="AI74" s="2139"/>
      <c r="AJ74" s="2139"/>
      <c r="AK74" s="2139"/>
    </row>
    <row r="75" spans="1:37" ht="14">
      <c r="A75" s="2128" t="s">
        <v>2067</v>
      </c>
      <c r="B75" s="2132">
        <f>估价对象房地状况!C24</f>
        <v>0</v>
      </c>
      <c r="C75" s="2043" t="s">
        <v>3441</v>
      </c>
      <c r="D75" s="1065">
        <f t="shared" si="17"/>
        <v>0</v>
      </c>
      <c r="E75" s="747"/>
      <c r="F75" s="1814"/>
      <c r="G75" s="1063">
        <v>2E-3</v>
      </c>
      <c r="H75" s="1066">
        <f t="shared" si="18"/>
        <v>2E-3</v>
      </c>
      <c r="I75" s="3365">
        <v>0.05</v>
      </c>
      <c r="J75" s="1064">
        <f t="shared" si="19"/>
        <v>4.0000000000000001E-3</v>
      </c>
      <c r="K75" s="1064">
        <f t="shared" si="20"/>
        <v>2E-3</v>
      </c>
      <c r="L75" s="1064">
        <v>0</v>
      </c>
      <c r="M75" s="1064">
        <f t="shared" si="21"/>
        <v>-2E-3</v>
      </c>
      <c r="N75" s="1064">
        <f t="shared" si="21"/>
        <v>-4.0000000000000001E-3</v>
      </c>
      <c r="O75" s="1119"/>
      <c r="P75" s="1119"/>
      <c r="Q75" s="1996"/>
      <c r="Z75" s="1997"/>
      <c r="AA75" s="2051"/>
      <c r="AG75" s="1121"/>
      <c r="AK75" s="2051"/>
    </row>
    <row r="76" spans="1:37" ht="26">
      <c r="A76" s="2128" t="s">
        <v>2059</v>
      </c>
      <c r="B76" s="1326" t="str">
        <f>估价对象房地状况!C21</f>
        <v>估价对象所在区域公共配套设施齐备情况</v>
      </c>
      <c r="C76" s="2043" t="str">
        <f>'比较法-住宅'!C20</f>
        <v>较好</v>
      </c>
      <c r="D76" s="1065">
        <f t="shared" si="17"/>
        <v>3.2000000000000002E-3</v>
      </c>
      <c r="E76" s="747"/>
      <c r="F76" s="1814"/>
      <c r="G76" s="1063">
        <v>3.2000000000000002E-3</v>
      </c>
      <c r="H76" s="1066">
        <f t="shared" si="18"/>
        <v>3.2000000000000002E-3</v>
      </c>
      <c r="I76" s="3365">
        <v>0.08</v>
      </c>
      <c r="J76" s="1064">
        <f t="shared" si="19"/>
        <v>6.4000000000000003E-3</v>
      </c>
      <c r="K76" s="1064">
        <f t="shared" si="20"/>
        <v>3.2000000000000002E-3</v>
      </c>
      <c r="L76" s="1064">
        <v>0</v>
      </c>
      <c r="M76" s="1064">
        <f t="shared" si="21"/>
        <v>-3.2000000000000002E-3</v>
      </c>
      <c r="N76" s="1064">
        <f t="shared" si="21"/>
        <v>-6.4000000000000003E-3</v>
      </c>
      <c r="O76" s="1119"/>
      <c r="P76" s="1119"/>
      <c r="Z76" s="1997"/>
      <c r="AA76" s="2051"/>
      <c r="AG76" s="1121"/>
      <c r="AK76" s="2051"/>
    </row>
    <row r="77" spans="1:37" ht="26">
      <c r="A77" s="2128" t="s">
        <v>2060</v>
      </c>
      <c r="B77" s="1326" t="str">
        <f>估价对象房地状况!C22</f>
        <v>估价对象所在区域基础设施水平</v>
      </c>
      <c r="C77" s="2043" t="s">
        <v>3391</v>
      </c>
      <c r="D77" s="1065">
        <f t="shared" si="17"/>
        <v>7.1999999999999998E-3</v>
      </c>
      <c r="E77" s="747"/>
      <c r="F77" s="1814"/>
      <c r="G77" s="1063">
        <v>3.5999999999999999E-3</v>
      </c>
      <c r="H77" s="1066">
        <f t="shared" si="18"/>
        <v>3.5999999999999999E-3</v>
      </c>
      <c r="I77" s="3365">
        <v>0.09</v>
      </c>
      <c r="J77" s="1064">
        <f t="shared" si="19"/>
        <v>7.1999999999999998E-3</v>
      </c>
      <c r="K77" s="1064">
        <f t="shared" si="20"/>
        <v>3.5999999999999999E-3</v>
      </c>
      <c r="L77" s="1064">
        <v>0</v>
      </c>
      <c r="M77" s="1064">
        <f t="shared" si="21"/>
        <v>-3.5999999999999999E-3</v>
      </c>
      <c r="N77" s="1064">
        <f t="shared" si="21"/>
        <v>-7.1999999999999998E-3</v>
      </c>
      <c r="O77" s="1119"/>
      <c r="P77" s="1119"/>
      <c r="Z77" s="1997"/>
      <c r="AA77" s="2051"/>
      <c r="AG77" s="1121"/>
      <c r="AK77" s="2051"/>
    </row>
    <row r="78" spans="1:37" ht="26">
      <c r="A78" s="2128" t="s">
        <v>2057</v>
      </c>
      <c r="B78" s="2134" t="s">
        <v>2058</v>
      </c>
      <c r="C78" s="2043" t="s">
        <v>3392</v>
      </c>
      <c r="D78" s="1065">
        <f t="shared" si="17"/>
        <v>2E-3</v>
      </c>
      <c r="E78" s="747"/>
      <c r="F78" s="1814"/>
      <c r="G78" s="1063">
        <v>2E-3</v>
      </c>
      <c r="H78" s="1066">
        <f t="shared" si="18"/>
        <v>2E-3</v>
      </c>
      <c r="I78" s="3365">
        <v>0.05</v>
      </c>
      <c r="J78" s="1064">
        <f t="shared" si="19"/>
        <v>4.0000000000000001E-3</v>
      </c>
      <c r="K78" s="1064">
        <f t="shared" si="20"/>
        <v>2E-3</v>
      </c>
      <c r="L78" s="1064">
        <v>0</v>
      </c>
      <c r="M78" s="1064">
        <f t="shared" si="21"/>
        <v>-2E-3</v>
      </c>
      <c r="N78" s="1064">
        <f t="shared" si="21"/>
        <v>-4.0000000000000001E-3</v>
      </c>
      <c r="O78" s="1996"/>
      <c r="P78" s="1996"/>
      <c r="Z78" s="1997"/>
      <c r="AA78" s="2051"/>
      <c r="AG78" s="1121"/>
      <c r="AK78" s="2051"/>
    </row>
    <row r="79" spans="1:37" ht="26">
      <c r="A79" s="2128" t="s">
        <v>2061</v>
      </c>
      <c r="B79" s="2131" t="str">
        <f>估价对象房地状况!C20</f>
        <v>区域自然环境：；人文环境；综合评价环境状况一般</v>
      </c>
      <c r="C79" s="2043" t="s">
        <v>3391</v>
      </c>
      <c r="D79" s="1065">
        <f t="shared" si="17"/>
        <v>9.5999999999999992E-3</v>
      </c>
      <c r="E79" s="747"/>
      <c r="F79" s="1814"/>
      <c r="G79" s="1063">
        <v>4.7999999999999996E-3</v>
      </c>
      <c r="H79" s="1066">
        <f t="shared" si="18"/>
        <v>4.7999999999999996E-3</v>
      </c>
      <c r="I79" s="3365">
        <v>0.12</v>
      </c>
      <c r="J79" s="1064">
        <f t="shared" si="19"/>
        <v>9.5999999999999992E-3</v>
      </c>
      <c r="K79" s="1064">
        <f t="shared" si="20"/>
        <v>4.7999999999999996E-3</v>
      </c>
      <c r="L79" s="1064">
        <v>0</v>
      </c>
      <c r="M79" s="1064">
        <f t="shared" si="21"/>
        <v>-4.7999999999999996E-3</v>
      </c>
      <c r="N79" s="1064">
        <f t="shared" si="21"/>
        <v>-9.5999999999999992E-3</v>
      </c>
      <c r="Z79" s="1997"/>
      <c r="AA79" s="2051"/>
      <c r="AG79" s="1121"/>
      <c r="AK79" s="2051"/>
    </row>
    <row r="80" spans="1:37" ht="26.5" thickBot="1">
      <c r="A80" s="2136" t="s">
        <v>2068</v>
      </c>
      <c r="B80" s="2140"/>
      <c r="C80" s="2043" t="s">
        <v>3392</v>
      </c>
      <c r="D80" s="1065">
        <f t="shared" si="17"/>
        <v>2E-3</v>
      </c>
      <c r="E80" s="748"/>
      <c r="F80" s="1814"/>
      <c r="G80" s="1063">
        <v>2E-3</v>
      </c>
      <c r="H80" s="1066">
        <f t="shared" si="18"/>
        <v>2E-3</v>
      </c>
      <c r="I80" s="3366">
        <v>0.05</v>
      </c>
      <c r="J80" s="1064">
        <f t="shared" si="19"/>
        <v>4.0000000000000001E-3</v>
      </c>
      <c r="K80" s="1064">
        <f t="shared" si="20"/>
        <v>2E-3</v>
      </c>
      <c r="L80" s="1064">
        <v>0</v>
      </c>
      <c r="M80" s="1064">
        <f t="shared" si="21"/>
        <v>-2E-3</v>
      </c>
      <c r="N80" s="1064">
        <f t="shared" si="21"/>
        <v>-4.0000000000000001E-3</v>
      </c>
      <c r="Z80" s="1997"/>
      <c r="AA80" s="2051"/>
      <c r="AG80" s="1121"/>
      <c r="AK80" s="2051"/>
    </row>
    <row r="81" spans="1:37" ht="14">
      <c r="A81" s="2124" t="s">
        <v>2069</v>
      </c>
      <c r="B81" s="2125">
        <f>1+E83</f>
        <v>1</v>
      </c>
      <c r="C81" s="741"/>
      <c r="D81" s="741"/>
      <c r="E81" s="742"/>
      <c r="F81" s="2127"/>
      <c r="G81" s="3"/>
      <c r="H81" s="3"/>
      <c r="I81" s="3"/>
      <c r="J81" s="4"/>
      <c r="K81" s="4"/>
      <c r="L81" s="4"/>
      <c r="M81" s="4"/>
      <c r="N81" s="4"/>
      <c r="Z81" s="1997"/>
      <c r="AA81" s="2051"/>
      <c r="AG81" s="1121"/>
      <c r="AK81" s="2051"/>
    </row>
    <row r="82" spans="1:37" ht="26">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7"/>
      <c r="AA82" s="2051"/>
      <c r="AG82" s="1121"/>
      <c r="AK82" s="2051"/>
    </row>
    <row r="83" spans="1:37" ht="37.5">
      <c r="A83" s="2128" t="s">
        <v>2070</v>
      </c>
      <c r="B83" s="2132"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1"/>
      <c r="AG83" s="1121"/>
      <c r="AK83" s="2051"/>
    </row>
    <row r="84" spans="1:37" ht="50">
      <c r="A84" s="2128" t="s">
        <v>2053</v>
      </c>
      <c r="B84" s="2132"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1"/>
      <c r="AG84" s="1121"/>
      <c r="AK84" s="2051"/>
    </row>
    <row r="85" spans="1:37" ht="39">
      <c r="A85" s="3367" t="s">
        <v>3275</v>
      </c>
      <c r="B85" s="2132">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1"/>
      <c r="AG85" s="1121"/>
      <c r="AK85" s="2051"/>
    </row>
    <row r="86" spans="1:37" ht="14">
      <c r="A86" s="2128" t="s">
        <v>2067</v>
      </c>
      <c r="B86" s="2132">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1"/>
      <c r="AG86" s="1121"/>
      <c r="AK86" s="2051"/>
    </row>
    <row r="87" spans="1:37" ht="26">
      <c r="A87" s="2128" t="s">
        <v>2059</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6">
      <c r="A88" s="2128" t="s">
        <v>2060</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6">
      <c r="A89" s="2128" t="s">
        <v>2057</v>
      </c>
      <c r="B89" s="2134" t="s">
        <v>2071</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8" thickBot="1">
      <c r="A90" s="2136" t="s">
        <v>2072</v>
      </c>
      <c r="B90" s="2141"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4">
      <c r="A91" s="3375" t="s">
        <v>2615</v>
      </c>
      <c r="B91" s="3376">
        <f>1+E93</f>
        <v>1</v>
      </c>
      <c r="C91" s="3369"/>
      <c r="D91" s="3370"/>
      <c r="E91" s="1814"/>
      <c r="F91" s="1814"/>
      <c r="G91" s="3371"/>
      <c r="H91" s="3372"/>
      <c r="I91" s="3373"/>
      <c r="J91" s="3374"/>
      <c r="K91" s="3374"/>
      <c r="L91" s="3374"/>
      <c r="M91" s="3374"/>
      <c r="N91" s="3374"/>
    </row>
    <row r="92" spans="1:37" ht="26">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6">
      <c r="A93" s="3367" t="s">
        <v>3277</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0">
      <c r="A94" s="3377" t="s">
        <v>3278</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9">
      <c r="A95" s="3367" t="s">
        <v>3274</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9">
      <c r="A96" s="3377" t="s">
        <v>3279</v>
      </c>
      <c r="B96" s="3383" t="s">
        <v>3290</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6">
      <c r="A97" s="3377" t="s">
        <v>3280</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6">
      <c r="A98" s="3377" t="s">
        <v>3281</v>
      </c>
      <c r="B98" s="3384" t="s">
        <v>3291</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6">
      <c r="A99" s="3377" t="s">
        <v>3282</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6">
      <c r="A100" s="3377" t="s">
        <v>3283</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5" thickBot="1">
      <c r="A101" s="3378" t="s">
        <v>3284</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ht="13">
      <c r="A103" s="3777" t="s">
        <v>3299</v>
      </c>
      <c r="B103" s="3777"/>
      <c r="C103" s="3777"/>
      <c r="D103" s="3777"/>
      <c r="E103" s="3777"/>
      <c r="F103" s="3777"/>
      <c r="G103" s="3777"/>
      <c r="H103" s="3777"/>
      <c r="I103" s="3777"/>
      <c r="J103" s="3777"/>
      <c r="K103" s="3388"/>
      <c r="L103" s="3388"/>
      <c r="M103" s="3388"/>
      <c r="N103" s="3388"/>
    </row>
    <row r="104" spans="1:14" ht="13">
      <c r="A104" s="3778" t="s">
        <v>3300</v>
      </c>
      <c r="B104" s="3778" t="s">
        <v>3301</v>
      </c>
      <c r="C104" s="3389" t="s">
        <v>3302</v>
      </c>
      <c r="D104" s="3390"/>
      <c r="E104" s="3390"/>
      <c r="F104" s="3390"/>
      <c r="G104" s="3390"/>
      <c r="H104" s="3390"/>
      <c r="I104" s="3390"/>
      <c r="J104" s="3391"/>
      <c r="K104" s="3392"/>
      <c r="L104" s="3392"/>
      <c r="M104" s="3392"/>
      <c r="N104" s="3392"/>
    </row>
    <row r="105" spans="1:14" ht="13">
      <c r="A105" s="3778"/>
      <c r="B105" s="3778"/>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64"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ht="13">
      <c r="A111" s="3765"/>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ht="13">
      <c r="A113" s="3767" t="s">
        <v>3316</v>
      </c>
      <c r="B113" s="3767"/>
      <c r="C113" s="3767"/>
      <c r="D113" s="3767"/>
      <c r="E113" s="3767"/>
      <c r="F113" s="3767"/>
      <c r="G113" s="3767"/>
      <c r="H113" s="3767"/>
      <c r="I113" s="3767"/>
      <c r="J113" s="376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 thickBot="1">
      <c r="A115" s="3396"/>
      <c r="B115" s="3396"/>
      <c r="C115" s="3396"/>
      <c r="D115" s="3396"/>
      <c r="E115" s="3396"/>
      <c r="F115" s="3396"/>
      <c r="G115" s="3396"/>
      <c r="H115" s="3396"/>
      <c r="I115" s="3396"/>
      <c r="J115" s="3396"/>
      <c r="K115" s="3355"/>
      <c r="L115" s="3396"/>
      <c r="M115" s="3396"/>
      <c r="N115" s="3396"/>
    </row>
    <row r="116" spans="1:14" ht="26" thickBot="1">
      <c r="A116" s="3397" t="s">
        <v>3317</v>
      </c>
      <c r="B116" s="3414">
        <f>G3</f>
        <v>2.8</v>
      </c>
      <c r="C116" s="3398" t="s">
        <v>3318</v>
      </c>
      <c r="D116" s="3399">
        <f>SUMPRODUCT((A118:A122=F116)*(B117:M117=H116)*B118:M122)</f>
        <v>0.91259999999999997</v>
      </c>
      <c r="E116" s="1999" t="s">
        <v>3319</v>
      </c>
      <c r="F116" s="3400" t="str">
        <f>E2</f>
        <v>住宅</v>
      </c>
      <c r="G116" s="1999" t="s">
        <v>3320</v>
      </c>
      <c r="H116" s="3400" t="str">
        <f>G2</f>
        <v>二级</v>
      </c>
      <c r="I116" s="1999"/>
      <c r="J116" s="3401"/>
      <c r="K116" s="3401"/>
      <c r="L116" s="3401"/>
      <c r="M116" s="3401"/>
      <c r="N116" s="3396"/>
    </row>
    <row r="117" spans="1:14" ht="13">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ht="13">
      <c r="A118" s="3408" t="s">
        <v>3333</v>
      </c>
      <c r="B118" s="3386">
        <f>ROUND(0.9968-0.011*B116,4)</f>
        <v>0.96599999999999997</v>
      </c>
      <c r="C118" s="3386">
        <f>B118</f>
        <v>0.96599999999999997</v>
      </c>
      <c r="D118" s="3386">
        <f>ROUND(0.949-0.014*B116,4)</f>
        <v>0.90980000000000005</v>
      </c>
      <c r="E118" s="3386">
        <f>D118</f>
        <v>0.90980000000000005</v>
      </c>
      <c r="F118" s="3386">
        <f>E118</f>
        <v>0.90980000000000005</v>
      </c>
      <c r="G118" s="3386">
        <f>F118</f>
        <v>0.90980000000000005</v>
      </c>
      <c r="H118" s="3386">
        <f>G118</f>
        <v>0.90980000000000005</v>
      </c>
      <c r="I118" s="3386">
        <f>ROUND(0.8486-0.018*B116,4)</f>
        <v>0.79820000000000002</v>
      </c>
      <c r="J118" s="3386">
        <f t="shared" ref="J118:M122" si="35">I118</f>
        <v>0.79820000000000002</v>
      </c>
      <c r="K118" s="3386">
        <f t="shared" si="35"/>
        <v>0.79820000000000002</v>
      </c>
      <c r="L118" s="3386">
        <f t="shared" si="35"/>
        <v>0.79820000000000002</v>
      </c>
      <c r="M118" s="3409">
        <f t="shared" si="35"/>
        <v>0.79820000000000002</v>
      </c>
      <c r="N118" s="3396"/>
    </row>
    <row r="119" spans="1:14" ht="13">
      <c r="A119" s="3408" t="s">
        <v>3334</v>
      </c>
      <c r="B119" s="3386">
        <f>ROUND(0.993-0.0112*B116,4)</f>
        <v>0.96160000000000001</v>
      </c>
      <c r="C119" s="3386">
        <f>B119</f>
        <v>0.96160000000000001</v>
      </c>
      <c r="D119" s="3386">
        <f>ROUND(0.9415-0.0142*B116,4)</f>
        <v>0.90169999999999995</v>
      </c>
      <c r="E119" s="3386">
        <f t="shared" ref="E119:H120" si="36">D119</f>
        <v>0.90169999999999995</v>
      </c>
      <c r="F119" s="3386">
        <f t="shared" si="36"/>
        <v>0.90169999999999995</v>
      </c>
      <c r="G119" s="3386">
        <f t="shared" si="36"/>
        <v>0.90169999999999995</v>
      </c>
      <c r="H119" s="3386">
        <f t="shared" si="36"/>
        <v>0.90169999999999995</v>
      </c>
      <c r="I119" s="3386">
        <f>ROUND(0.838-0.0182*B116,4)</f>
        <v>0.78700000000000003</v>
      </c>
      <c r="J119" s="3386">
        <f t="shared" si="35"/>
        <v>0.78700000000000003</v>
      </c>
      <c r="K119" s="3386">
        <f t="shared" si="35"/>
        <v>0.78700000000000003</v>
      </c>
      <c r="L119" s="3386">
        <f t="shared" si="35"/>
        <v>0.78700000000000003</v>
      </c>
      <c r="M119" s="3409">
        <f t="shared" si="35"/>
        <v>0.78700000000000003</v>
      </c>
      <c r="N119" s="3396"/>
    </row>
    <row r="120" spans="1:14" ht="13">
      <c r="A120" s="3408" t="s">
        <v>3335</v>
      </c>
      <c r="B120" s="3386">
        <f>ROUND(0.9448-0.0115*B116,4)</f>
        <v>0.91259999999999997</v>
      </c>
      <c r="C120" s="3386">
        <f>B120</f>
        <v>0.91259999999999997</v>
      </c>
      <c r="D120" s="3386">
        <f>ROUND(0.937-0.0145*B116,4)</f>
        <v>0.89639999999999997</v>
      </c>
      <c r="E120" s="3386">
        <f t="shared" si="36"/>
        <v>0.89639999999999997</v>
      </c>
      <c r="F120" s="3386">
        <f t="shared" si="36"/>
        <v>0.89639999999999997</v>
      </c>
      <c r="G120" s="3386">
        <f t="shared" si="36"/>
        <v>0.89639999999999997</v>
      </c>
      <c r="H120" s="3386">
        <f t="shared" si="36"/>
        <v>0.89639999999999997</v>
      </c>
      <c r="I120" s="3386">
        <f>ROUND(0.7965-0.0185*B116,4)</f>
        <v>0.74470000000000003</v>
      </c>
      <c r="J120" s="3386">
        <f t="shared" si="35"/>
        <v>0.74470000000000003</v>
      </c>
      <c r="K120" s="3386">
        <f t="shared" si="35"/>
        <v>0.74470000000000003</v>
      </c>
      <c r="L120" s="3386">
        <f t="shared" si="35"/>
        <v>0.74470000000000003</v>
      </c>
      <c r="M120" s="3409">
        <f t="shared" si="35"/>
        <v>0.74470000000000003</v>
      </c>
      <c r="N120" s="3396"/>
    </row>
    <row r="121" spans="1:14" ht="13.5" thickBot="1">
      <c r="A121" s="3410" t="s">
        <v>3336</v>
      </c>
      <c r="B121" s="3411">
        <f>ROUND(0.7836-0.012*B116,4)</f>
        <v>0.75</v>
      </c>
      <c r="C121" s="3411">
        <f>B121</f>
        <v>0.75</v>
      </c>
      <c r="D121" s="3411">
        <f>ROUND(0.753-0.015*B116,4)</f>
        <v>0.71099999999999997</v>
      </c>
      <c r="E121" s="3411">
        <f>D121</f>
        <v>0.71099999999999997</v>
      </c>
      <c r="F121" s="3411">
        <f>E121</f>
        <v>0.71099999999999997</v>
      </c>
      <c r="G121" s="3411">
        <f>ROUND(0.6612-0.018*B116,4)</f>
        <v>0.61080000000000001</v>
      </c>
      <c r="H121" s="3411">
        <f>G121</f>
        <v>0.61080000000000001</v>
      </c>
      <c r="I121" s="3411">
        <f>ROUND(0.5905-0.019*B116,4)</f>
        <v>0.5373</v>
      </c>
      <c r="J121" s="3411">
        <f t="shared" si="35"/>
        <v>0.5373</v>
      </c>
      <c r="K121" s="3411">
        <f t="shared" si="35"/>
        <v>0.5373</v>
      </c>
      <c r="L121" s="3411">
        <f t="shared" si="35"/>
        <v>0.5373</v>
      </c>
      <c r="M121" s="3412">
        <f t="shared" si="35"/>
        <v>0.5373</v>
      </c>
      <c r="N121" s="3396"/>
    </row>
    <row r="122" spans="1:14" ht="13">
      <c r="A122" s="3413" t="s">
        <v>2615</v>
      </c>
      <c r="B122" s="3386">
        <f>ROUND(0.9404-0.0106*B116,4)</f>
        <v>0.91069999999999995</v>
      </c>
      <c r="C122" s="3386">
        <f>B122</f>
        <v>0.91069999999999995</v>
      </c>
      <c r="D122" s="3386">
        <f>ROUND(0.8955-0.0135*B116,4)</f>
        <v>0.85770000000000002</v>
      </c>
      <c r="E122" s="3386">
        <f t="shared" ref="E122:H122" si="37">D122</f>
        <v>0.85770000000000002</v>
      </c>
      <c r="F122" s="3386">
        <f t="shared" si="37"/>
        <v>0.85770000000000002</v>
      </c>
      <c r="G122" s="3386">
        <f t="shared" si="37"/>
        <v>0.85770000000000002</v>
      </c>
      <c r="H122" s="3386">
        <f t="shared" si="37"/>
        <v>0.85770000000000002</v>
      </c>
      <c r="I122" s="3386">
        <f>ROUND(0.7632-0.0166*B116,4)</f>
        <v>0.7167</v>
      </c>
      <c r="J122" s="3386">
        <f t="shared" si="35"/>
        <v>0.7167</v>
      </c>
      <c r="K122" s="3386">
        <f t="shared" si="35"/>
        <v>0.7167</v>
      </c>
      <c r="L122" s="3386">
        <f t="shared" si="35"/>
        <v>0.7167</v>
      </c>
      <c r="M122" s="3409">
        <f t="shared" si="35"/>
        <v>0.7167</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66" fitToHeight="0"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F41" sqref="F41"/>
    </sheetView>
  </sheetViews>
  <sheetFormatPr defaultColWidth="9" defaultRowHeight="12.5"/>
  <cols>
    <col min="1" max="1" width="9" style="258" customWidth="1"/>
    <col min="2" max="2" width="20.6328125" style="655" customWidth="1"/>
    <col min="3" max="3" width="11.90625" style="655" customWidth="1"/>
    <col min="4" max="4" width="40.453125" style="258" customWidth="1"/>
    <col min="5" max="5" width="15.7265625" style="258" customWidth="1"/>
    <col min="6" max="6" width="10.6328125" style="258" customWidth="1"/>
    <col min="7" max="7" width="4.90625" style="258" customWidth="1"/>
    <col min="8" max="8" width="8.453125" style="258" customWidth="1"/>
    <col min="9" max="9" width="21.26953125" style="258" customWidth="1"/>
    <col min="10" max="10" width="12.26953125" style="258" customWidth="1"/>
    <col min="11" max="11" width="40.08984375" style="1468" customWidth="1"/>
    <col min="12" max="12" width="16.36328125" style="258" customWidth="1"/>
    <col min="13" max="13" width="13" style="258" customWidth="1"/>
    <col min="14" max="14" width="13.7265625" style="1384" customWidth="1"/>
    <col min="15" max="15" width="5.08984375" style="1384" customWidth="1"/>
    <col min="16" max="16" width="25.7265625" style="1384" customWidth="1"/>
    <col min="17" max="17" width="13.7265625" style="1384" customWidth="1"/>
    <col min="18" max="18" width="20.453125" style="1384" customWidth="1"/>
    <col min="19" max="19" width="13.26953125" style="1384" customWidth="1"/>
    <col min="20" max="37" width="9" style="1384"/>
    <col min="38" max="16384" width="9" style="258"/>
  </cols>
  <sheetData>
    <row r="1" spans="1:37" s="293" customFormat="1" ht="21">
      <c r="A1" s="1375" t="s">
        <v>877</v>
      </c>
      <c r="B1" s="713"/>
      <c r="C1" s="1379" t="s">
        <v>3378</v>
      </c>
      <c r="D1" s="1362" t="s">
        <v>43</v>
      </c>
      <c r="E1" s="1363" t="s">
        <v>678</v>
      </c>
      <c r="F1" s="1062">
        <f ca="1">J53</f>
        <v>42</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369.59309999999999</v>
      </c>
      <c r="C2" s="1387" t="s">
        <v>879</v>
      </c>
      <c r="D2" s="1471">
        <f ca="1">C40+J29+L46</f>
        <v>3695931</v>
      </c>
      <c r="E2" s="1388" t="s">
        <v>880</v>
      </c>
      <c r="F2" s="1389"/>
      <c r="G2" s="2704"/>
      <c r="H2" s="2693"/>
      <c r="I2" s="2693"/>
      <c r="J2" s="2693"/>
      <c r="K2" s="2694"/>
      <c r="L2" s="2693"/>
      <c r="M2" s="2693"/>
    </row>
    <row r="3" spans="1:37" ht="18" customHeight="1" thickBot="1">
      <c r="A3" s="1390" t="s">
        <v>881</v>
      </c>
      <c r="B3" s="1391">
        <f ca="1">IF(ISERROR(D2/F43),0,ROUND(D2/F43,0))</f>
        <v>25993</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162203</v>
      </c>
      <c r="D5" s="1364" t="s">
        <v>889</v>
      </c>
      <c r="E5" s="1071"/>
      <c r="F5" s="1072"/>
      <c r="G5" s="1384"/>
      <c r="H5" s="299">
        <v>1</v>
      </c>
      <c r="I5" s="300" t="s">
        <v>888</v>
      </c>
      <c r="J5" s="1070">
        <f ca="1">J6+J10+J12</f>
        <v>0</v>
      </c>
      <c r="K5" s="1364" t="s">
        <v>889</v>
      </c>
      <c r="L5" s="1071"/>
      <c r="M5" s="1072"/>
    </row>
    <row r="6" spans="1:37" ht="18" customHeight="1">
      <c r="A6" s="1069" t="s">
        <v>398</v>
      </c>
      <c r="B6" s="3662" t="s">
        <v>694</v>
      </c>
      <c r="C6" s="1074">
        <f ca="1">ROUND(F6*F8*F7*(1-F9),0)</f>
        <v>162000</v>
      </c>
      <c r="D6" s="155" t="s">
        <v>2106</v>
      </c>
      <c r="E6" s="302" t="s">
        <v>696</v>
      </c>
      <c r="F6" s="303">
        <f ca="1">INDIRECT("'数据-取费表'!u"&amp;$G$1)</f>
        <v>15000</v>
      </c>
      <c r="G6" s="1384"/>
      <c r="H6" s="1069" t="s">
        <v>398</v>
      </c>
      <c r="I6" s="3662" t="s">
        <v>694</v>
      </c>
      <c r="J6" s="301">
        <f ca="1">ROUND(M6*M8*M7*(1-M9),0)</f>
        <v>0</v>
      </c>
      <c r="K6" s="1376" t="s">
        <v>2107</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1</v>
      </c>
      <c r="G7" s="1384"/>
      <c r="H7" s="304"/>
      <c r="I7" s="3663"/>
      <c r="J7" s="306"/>
      <c r="K7" s="307"/>
      <c r="L7" s="302" t="s">
        <v>697</v>
      </c>
      <c r="M7" s="303">
        <f ca="1">F7</f>
        <v>1</v>
      </c>
    </row>
    <row r="8" spans="1:37" ht="18" customHeight="1">
      <c r="A8" s="304"/>
      <c r="B8" s="3663"/>
      <c r="C8" s="306"/>
      <c r="D8" s="307"/>
      <c r="E8" s="302" t="s">
        <v>698</v>
      </c>
      <c r="F8" s="303">
        <f ca="1">INDIRECT("'数据-取费表'!ai"&amp;$G$1)</f>
        <v>12</v>
      </c>
      <c r="G8" s="1384"/>
      <c r="H8" s="304"/>
      <c r="I8" s="3663"/>
      <c r="J8" s="306"/>
      <c r="K8" s="307"/>
      <c r="L8" s="302" t="s">
        <v>698</v>
      </c>
      <c r="M8" s="303">
        <f ca="1">INDIRECT("'数据-取费表'!ai"&amp;$G$1)</f>
        <v>12</v>
      </c>
    </row>
    <row r="9" spans="1:37" ht="18" customHeight="1">
      <c r="A9" s="304"/>
      <c r="B9" s="3664"/>
      <c r="C9" s="306"/>
      <c r="D9" s="307"/>
      <c r="E9" s="302" t="s">
        <v>699</v>
      </c>
      <c r="F9" s="312">
        <f ca="1">INDIRECT("'数据-取费表'!w"&amp;$G$1)</f>
        <v>0.1</v>
      </c>
      <c r="G9" s="1384"/>
      <c r="H9" s="304"/>
      <c r="I9" s="3664"/>
      <c r="J9" s="306"/>
      <c r="K9" s="307"/>
      <c r="L9" s="313" t="s">
        <v>699</v>
      </c>
      <c r="M9" s="314">
        <f ca="1">INDIRECT("'数据-取费表'!ab"&amp;$G$1)</f>
        <v>0</v>
      </c>
    </row>
    <row r="10" spans="1:37" ht="18" customHeight="1">
      <c r="A10" s="1069" t="s">
        <v>402</v>
      </c>
      <c r="B10" s="1365" t="s">
        <v>700</v>
      </c>
      <c r="C10" s="316">
        <f ca="1">ROUND(IF(F10="押一",C6/12*F11,IF(F10="押二",C6/12*2*F11,IF(F10="押三",C6/12*3*F11,C11*F11))),0)</f>
        <v>203</v>
      </c>
      <c r="D10" s="1366" t="s">
        <v>2116</v>
      </c>
      <c r="E10" s="313" t="s">
        <v>701</v>
      </c>
      <c r="F10" s="1116" t="s">
        <v>3398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618004</v>
      </c>
      <c r="D13" s="1081" t="s">
        <v>705</v>
      </c>
      <c r="E13" s="1081" t="s">
        <v>706</v>
      </c>
      <c r="F13" s="1082">
        <f ca="1">INDIRECT("'数据-取费表'!y"&amp;$G$1)</f>
        <v>0.63500000000000001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568760</v>
      </c>
      <c r="D14" s="1345" t="s">
        <v>708</v>
      </c>
      <c r="E14" s="1342"/>
      <c r="F14" s="319"/>
      <c r="G14" s="1384"/>
      <c r="H14" s="982" t="s">
        <v>398</v>
      </c>
      <c r="I14" s="302" t="s">
        <v>709</v>
      </c>
      <c r="J14" s="21">
        <f ca="1">C29</f>
        <v>973235</v>
      </c>
      <c r="K14" s="12"/>
      <c r="L14" s="807"/>
      <c r="M14" s="808"/>
    </row>
    <row r="15" spans="1:37" s="1397" customFormat="1" ht="18" customHeight="1" thickBot="1">
      <c r="A15" s="982" t="s">
        <v>399</v>
      </c>
      <c r="B15" s="302" t="s">
        <v>710</v>
      </c>
      <c r="C15" s="21">
        <f ca="1">ROUND(C14*F15,0)</f>
        <v>17063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28438</v>
      </c>
      <c r="D16" s="302" t="s">
        <v>711</v>
      </c>
      <c r="E16" s="302" t="s">
        <v>712</v>
      </c>
      <c r="F16" s="322">
        <f ca="1">IF(INDIRECT("'数据-取费表'!c"&amp;$G$1)="住宅",'数据-取费表'!B34,0)</f>
        <v>0.05</v>
      </c>
      <c r="G16" s="1384"/>
      <c r="H16" s="1079" t="s">
        <v>393</v>
      </c>
      <c r="I16" s="1080" t="s">
        <v>714</v>
      </c>
      <c r="J16" s="310">
        <f ca="1">ROUND(J17+J22+J23+J24,0)</f>
        <v>9732</v>
      </c>
      <c r="K16" s="1087" t="s">
        <v>715</v>
      </c>
      <c r="L16" s="1088"/>
      <c r="M16" s="1072"/>
    </row>
    <row r="17" spans="1:37" s="1397" customFormat="1" ht="18" customHeight="1">
      <c r="A17" s="982" t="s">
        <v>681</v>
      </c>
      <c r="B17" s="302" t="s">
        <v>716</v>
      </c>
      <c r="C17" s="21">
        <f ca="1">ROUND(F17*(F43+INDIRECT("'数据-取费表'!S"&amp;$G$1)),0)</f>
        <v>28438</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8531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651230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13025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9732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31552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-9732</v>
      </c>
      <c r="K25" s="1095" t="s">
        <v>753</v>
      </c>
      <c r="L25" s="1096"/>
      <c r="M25" s="1097"/>
    </row>
    <row r="26" spans="1:37" ht="18" customHeight="1">
      <c r="A26" s="982" t="s">
        <v>397</v>
      </c>
      <c r="B26" s="302" t="s">
        <v>754</v>
      </c>
      <c r="C26" s="21">
        <f ca="1">ROUND((C19+C20)*F26,0)</f>
        <v>199277</v>
      </c>
      <c r="D26" s="323" t="s">
        <v>755</v>
      </c>
      <c r="E26" s="313" t="s">
        <v>756</v>
      </c>
      <c r="F26" s="312">
        <f ca="1">INDIRECT("'数据-取费表'!q"&amp;$G$1)</f>
        <v>0.3</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973235</v>
      </c>
      <c r="D29" s="1092"/>
      <c r="E29" s="1090"/>
      <c r="F29" s="1093"/>
      <c r="G29" s="1396"/>
      <c r="H29" s="334" t="s">
        <v>396</v>
      </c>
      <c r="I29" s="335" t="s">
        <v>768</v>
      </c>
      <c r="J29" s="336">
        <f ca="1">ROUND(J26/(1+F40)^F41,0)</f>
        <v>0</v>
      </c>
      <c r="K29" s="337" t="s">
        <v>769</v>
      </c>
      <c r="L29" s="338"/>
      <c r="M29" s="339">
        <f ca="1">INDIRECT("'数据-取费表'!k"&amp;$G$1)</f>
        <v>142.19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17451</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3857</v>
      </c>
      <c r="D31" s="1345" t="s">
        <v>720</v>
      </c>
      <c r="E31" s="1344" t="s">
        <v>770</v>
      </c>
      <c r="F31" s="2313">
        <f ca="1">IF(项目基本情况!B11="企业","——",IF(M47="住宅",IF(F6*F7*F8/12/(1+'数据-取费表'!F30)&gt;100000,4%,2.5%),IF(F6*F7*F8/12/(1+'数据-取费表'!F30)&gt;100000,12%,7%)))</f>
        <v>2.5000000000000001E-2</v>
      </c>
      <c r="G31" s="1384"/>
      <c r="H31" s="2806" t="s">
        <v>2310</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9732</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618</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3244</v>
      </c>
      <c r="D38" s="1092" t="s">
        <v>748</v>
      </c>
      <c r="E38" s="1090" t="s">
        <v>744</v>
      </c>
      <c r="F38" s="1086">
        <f ca="1">INDIRECT("'数据-取费表'!Am"&amp;$G$1)</f>
        <v>0.02</v>
      </c>
      <c r="G38" s="1384"/>
      <c r="H38" s="2698"/>
      <c r="I38" s="1398"/>
      <c r="J38" s="1399"/>
      <c r="K38" s="2702"/>
      <c r="L38" s="2698"/>
      <c r="M38" s="2698"/>
    </row>
    <row r="39" spans="1:18" ht="24.65" customHeight="1" thickTop="1">
      <c r="A39" s="1079" t="s">
        <v>394</v>
      </c>
      <c r="B39" s="1094" t="s">
        <v>772</v>
      </c>
      <c r="C39" s="310">
        <f ca="1">C5-C30</f>
        <v>144752</v>
      </c>
      <c r="D39" s="1095" t="s">
        <v>773</v>
      </c>
      <c r="E39" s="1096"/>
      <c r="F39" s="1097"/>
      <c r="G39" s="1384"/>
      <c r="H39" s="2698"/>
      <c r="I39" s="1398"/>
      <c r="J39" s="1399"/>
      <c r="K39" s="2702"/>
      <c r="L39" s="2698"/>
      <c r="M39" s="2698"/>
    </row>
    <row r="40" spans="1:18" ht="18" customHeight="1">
      <c r="A40" s="299" t="s">
        <v>395</v>
      </c>
      <c r="B40" s="300" t="s">
        <v>774</v>
      </c>
      <c r="C40" s="301">
        <f ca="1">ROUND(C39*(1-((1+F42)/(1+F40))^F41)/(F40-F42),0)</f>
        <v>3695931</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42</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25993</v>
      </c>
      <c r="D43" s="337" t="s">
        <v>777</v>
      </c>
      <c r="E43" s="338" t="s">
        <v>778</v>
      </c>
      <c r="F43" s="339">
        <f ca="1">INDIRECT("'数据-取费表'!k"&amp;$G$1)</f>
        <v>142.19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3357</v>
      </c>
      <c r="B45" s="1400"/>
      <c r="C45" s="1472">
        <f ca="1">ROUND((C68-C40)/10000,4)</f>
        <v>-388.97199999999998</v>
      </c>
      <c r="D45" s="3430" t="s">
        <v>3358</v>
      </c>
      <c r="E45" s="1400"/>
      <c r="F45" s="1400"/>
      <c r="O45" s="1403" t="s">
        <v>808</v>
      </c>
      <c r="P45" s="1461"/>
      <c r="Q45" s="1461"/>
      <c r="R45" s="1461"/>
    </row>
    <row r="46" spans="1:18" s="1384" customFormat="1" ht="14" thickBot="1">
      <c r="A46" s="1404" t="s">
        <v>809</v>
      </c>
      <c r="C46" s="1405">
        <f ca="1">ROUND(C45,0)</f>
        <v>-389</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3428</v>
      </c>
      <c r="K47" s="1416" t="s">
        <v>816</v>
      </c>
      <c r="L47" s="1417">
        <f ca="1">INDIRECT("'数据-取费表'!d"&amp;$G$1)</f>
        <v>70</v>
      </c>
      <c r="M47" s="1380" t="str">
        <f>IF(ISNUMBER(FIND("住宅",C1)),"住宅","非住宅")</f>
        <v>住宅</v>
      </c>
      <c r="O47" s="1418" t="s">
        <v>403</v>
      </c>
      <c r="P47" s="1419" t="s">
        <v>817</v>
      </c>
      <c r="Q47" s="1420">
        <f ca="1">C40+J29</f>
        <v>3695931</v>
      </c>
      <c r="R47" s="1420" t="s">
        <v>818</v>
      </c>
    </row>
    <row r="48" spans="1:18" s="1384" customFormat="1" ht="43.5" thickBot="1">
      <c r="A48" s="1110" t="s">
        <v>438</v>
      </c>
      <c r="B48" s="300" t="s">
        <v>692</v>
      </c>
      <c r="C48" s="1359">
        <f ca="1">C49+C53+C55</f>
        <v>0</v>
      </c>
      <c r="D48" s="1112"/>
      <c r="E48" s="1113"/>
      <c r="F48" s="962"/>
      <c r="G48" s="722"/>
      <c r="H48" s="723"/>
      <c r="I48" s="1421" t="s">
        <v>819</v>
      </c>
      <c r="J48" s="1422" t="s">
        <v>3448</v>
      </c>
      <c r="K48" s="1423" t="s">
        <v>820</v>
      </c>
      <c r="L48" s="1424">
        <f ca="1">INDIRECT("'数据-取费表'!f"&amp;$G$1)</f>
        <v>42</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1997</v>
      </c>
      <c r="K49" s="1423" t="s">
        <v>824</v>
      </c>
      <c r="L49" s="1427"/>
      <c r="O49" s="1428" t="s">
        <v>405</v>
      </c>
      <c r="P49" s="1419" t="s">
        <v>825</v>
      </c>
      <c r="Q49" s="1420">
        <f ca="1">C29</f>
        <v>973235</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34</v>
      </c>
      <c r="K51" s="1434" t="s">
        <v>830</v>
      </c>
      <c r="L51" s="1435">
        <f ca="1">ROUND(-PV(INDIRECT("'数据-取费表'!h"&amp;$G$1),J51,(C39-C13*C76),0),0)</f>
        <v>1803696</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42</v>
      </c>
      <c r="K53" s="3660" t="s">
        <v>837</v>
      </c>
      <c r="L53" s="3661"/>
      <c r="O53" s="1418" t="s">
        <v>409</v>
      </c>
      <c r="P53" s="1419" t="s">
        <v>838</v>
      </c>
      <c r="Q53" s="1420">
        <f ca="1">Q47+Q48</f>
        <v>3695931</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618004</v>
      </c>
      <c r="D56" s="1447"/>
      <c r="E56" s="1448"/>
      <c r="F56" s="1440"/>
      <c r="I56" s="1449" t="s">
        <v>842</v>
      </c>
      <c r="J56" s="1450" t="s">
        <v>3449</v>
      </c>
      <c r="K56" s="1421" t="s">
        <v>843</v>
      </c>
      <c r="L56" s="1424">
        <f ca="1">IF(L48&lt;J51,"——",L48-J51)</f>
        <v>8</v>
      </c>
      <c r="O56" s="1418" t="s">
        <v>403</v>
      </c>
      <c r="P56" s="1419" t="s">
        <v>817</v>
      </c>
      <c r="Q56" s="1420">
        <f ca="1">C40+J29</f>
        <v>3695931</v>
      </c>
      <c r="R56" s="1420" t="s">
        <v>818</v>
      </c>
    </row>
    <row r="57" spans="1:18" s="1384" customFormat="1" ht="26.5" thickBot="1">
      <c r="A57" s="1451"/>
      <c r="B57" s="950" t="s">
        <v>767</v>
      </c>
      <c r="C57" s="238">
        <f ca="1">C29</f>
        <v>973235</v>
      </c>
      <c r="D57" s="1452"/>
      <c r="E57" s="1453"/>
      <c r="F57" s="1454"/>
      <c r="I57" s="1455" t="s">
        <v>844</v>
      </c>
      <c r="J57" s="1456" t="str">
        <f ca="1">IF(OR(M47="住宅",J51&lt;L48,J56="是"),"——",J51-L48)</f>
        <v>——</v>
      </c>
      <c r="K57" s="1421" t="s">
        <v>892</v>
      </c>
      <c r="L57" s="1424">
        <f ca="1">IF(L48&lt;J51,"——",IF(L55="比较法",L49,IF(L55="基准地价",L50,L51)))</f>
        <v>1803696</v>
      </c>
      <c r="O57" s="1418" t="s">
        <v>404</v>
      </c>
      <c r="P57" s="1419" t="s">
        <v>893</v>
      </c>
      <c r="Q57" s="1420">
        <f ca="1">L60</f>
        <v>0</v>
      </c>
      <c r="R57" s="1420" t="s">
        <v>894</v>
      </c>
    </row>
    <row r="58" spans="1:18" s="1384" customFormat="1" ht="26.5" thickBot="1">
      <c r="A58" s="315" t="s">
        <v>393</v>
      </c>
      <c r="B58" s="958" t="s">
        <v>714</v>
      </c>
      <c r="C58" s="316">
        <f ca="1">ROUND(C59+C64+C65+C66,0)</f>
        <v>10350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6.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3695931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9732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618</v>
      </c>
      <c r="D65" s="964" t="s">
        <v>743</v>
      </c>
      <c r="E65" s="950" t="s">
        <v>744</v>
      </c>
      <c r="F65" s="330">
        <f t="shared" ca="1" si="0"/>
        <v>1E-3</v>
      </c>
      <c r="I65" s="1462" t="s">
        <v>867</v>
      </c>
      <c r="J65" s="1463">
        <v>40</v>
      </c>
      <c r="K65" s="1463">
        <v>30</v>
      </c>
      <c r="L65" s="1463">
        <v>50</v>
      </c>
      <c r="M65" s="1465">
        <v>0.02</v>
      </c>
      <c r="O65" s="1418" t="s">
        <v>403</v>
      </c>
      <c r="P65" s="1419" t="s">
        <v>868</v>
      </c>
      <c r="Q65" s="1420">
        <f ca="1">C40+J29</f>
        <v>3695931</v>
      </c>
      <c r="R65" s="1420" t="s">
        <v>818</v>
      </c>
    </row>
    <row r="66" spans="1:18" s="1384" customFormat="1" ht="16" thickBot="1">
      <c r="A66" s="982" t="s">
        <v>793</v>
      </c>
      <c r="B66" s="950" t="s">
        <v>728</v>
      </c>
      <c r="C66" s="21">
        <f ca="1">ROUND(C48*F66,0)</f>
        <v>0</v>
      </c>
      <c r="D66" s="964" t="s">
        <v>794</v>
      </c>
      <c r="E66" s="950" t="s">
        <v>712</v>
      </c>
      <c r="F66" s="312">
        <f t="shared" ca="1" si="0"/>
        <v>0.02</v>
      </c>
      <c r="O66" s="1418" t="s">
        <v>404</v>
      </c>
      <c r="P66" s="1419" t="s">
        <v>846</v>
      </c>
      <c r="Q66" s="1420">
        <f ca="1">L60</f>
        <v>0</v>
      </c>
      <c r="R66" s="1420" t="s">
        <v>869</v>
      </c>
    </row>
    <row r="67" spans="1:18" s="1384" customFormat="1" ht="26.5" thickBot="1">
      <c r="A67" s="957" t="s">
        <v>394</v>
      </c>
      <c r="B67" s="967" t="s">
        <v>752</v>
      </c>
      <c r="C67" s="316">
        <f ca="1">C48-C58</f>
        <v>-10350</v>
      </c>
      <c r="D67" s="963" t="s">
        <v>753</v>
      </c>
      <c r="E67" s="968"/>
      <c r="F67" s="969"/>
      <c r="O67" s="1428" t="s">
        <v>405</v>
      </c>
      <c r="P67" s="1419" t="s">
        <v>850</v>
      </c>
      <c r="Q67" s="1466">
        <f ca="1">L51</f>
        <v>1803696</v>
      </c>
      <c r="R67" s="1420" t="s">
        <v>870</v>
      </c>
    </row>
    <row r="68" spans="1:18" s="1384" customFormat="1" ht="16" thickBot="1">
      <c r="A68" s="947" t="s">
        <v>395</v>
      </c>
      <c r="B68" s="948" t="s">
        <v>774</v>
      </c>
      <c r="C68" s="301">
        <f ca="1">ROUND(C67*(1-((1+F70)/(1+F68))^F69)/(F68-F70),0)</f>
        <v>-193789</v>
      </c>
      <c r="D68" s="965" t="s">
        <v>758</v>
      </c>
      <c r="E68" s="950" t="s">
        <v>759</v>
      </c>
      <c r="F68" s="312">
        <f ca="1">F40</f>
        <v>4.4999999999999998E-2</v>
      </c>
      <c r="O68" s="1428" t="s">
        <v>406</v>
      </c>
      <c r="P68" s="1467" t="s">
        <v>871</v>
      </c>
      <c r="Q68" s="1420">
        <f ca="1">ROUND(Q69-Q70*Q71,0)</f>
        <v>104582</v>
      </c>
      <c r="R68" s="1420" t="s">
        <v>414</v>
      </c>
    </row>
    <row r="69" spans="1:18" s="1384" customFormat="1" ht="13.5" thickBot="1">
      <c r="A69" s="951"/>
      <c r="B69" s="952"/>
      <c r="C69" s="306"/>
      <c r="D69" s="970" t="s">
        <v>762</v>
      </c>
      <c r="E69" s="950" t="s">
        <v>763</v>
      </c>
      <c r="F69" s="333">
        <f ca="1">F41</f>
        <v>42</v>
      </c>
      <c r="O69" s="1428" t="s">
        <v>411</v>
      </c>
      <c r="P69" s="1467" t="s">
        <v>872</v>
      </c>
      <c r="Q69" s="1420">
        <f ca="1">C39</f>
        <v>144752</v>
      </c>
      <c r="R69" s="1420" t="s">
        <v>818</v>
      </c>
    </row>
    <row r="70" spans="1:18" s="1384" customFormat="1" ht="13.5" thickBot="1">
      <c r="A70" s="954"/>
      <c r="B70" s="955"/>
      <c r="C70" s="310"/>
      <c r="D70" s="966"/>
      <c r="E70" s="950" t="s">
        <v>766</v>
      </c>
      <c r="F70" s="1054"/>
      <c r="O70" s="1428" t="s">
        <v>412</v>
      </c>
      <c r="P70" s="1467" t="s">
        <v>873</v>
      </c>
      <c r="Q70" s="1420">
        <f ca="1">C13</f>
        <v>618004</v>
      </c>
      <c r="R70" s="1420" t="s">
        <v>818</v>
      </c>
    </row>
    <row r="71" spans="1:18" s="1384" customFormat="1" ht="13.5" thickBot="1">
      <c r="A71" s="971" t="s">
        <v>396</v>
      </c>
      <c r="B71" s="972" t="s">
        <v>776</v>
      </c>
      <c r="C71" s="336">
        <f ca="1">ROUND(C68/F71,0)</f>
        <v>-1363</v>
      </c>
      <c r="D71" s="973" t="s">
        <v>777</v>
      </c>
      <c r="E71" s="974" t="s">
        <v>778</v>
      </c>
      <c r="F71" s="339">
        <f ca="1">F43</f>
        <v>142.19</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40170</v>
      </c>
      <c r="D75" s="1384"/>
      <c r="E75" s="1384"/>
      <c r="F75" s="1384"/>
      <c r="K75" s="1402"/>
      <c r="L75" s="1384"/>
      <c r="O75" s="1418" t="s">
        <v>409</v>
      </c>
      <c r="P75" s="1419" t="s">
        <v>838</v>
      </c>
      <c r="Q75" s="1420">
        <f ca="1">Q65+Q66</f>
        <v>3695931</v>
      </c>
      <c r="R75" s="1420" t="s">
        <v>410</v>
      </c>
    </row>
    <row r="76" spans="1:18" ht="13">
      <c r="B76" s="342" t="s">
        <v>796</v>
      </c>
      <c r="C76" s="343">
        <f ca="1">INDIRECT("'数据-取费表'!j"&amp;$G$1)</f>
        <v>6.5000000000000002E-2</v>
      </c>
      <c r="I76" s="1384"/>
      <c r="J76" s="1384"/>
      <c r="K76" s="1402"/>
      <c r="L76" s="1384"/>
    </row>
    <row r="77" spans="1:18" ht="13.5">
      <c r="B77" s="344" t="s">
        <v>797</v>
      </c>
      <c r="C77" s="345"/>
      <c r="I77" s="1384"/>
      <c r="J77" s="1384"/>
      <c r="K77" s="1402"/>
      <c r="L77" s="1384"/>
    </row>
    <row r="78" spans="1:18" ht="13.5">
      <c r="B78" s="270" t="s">
        <v>798</v>
      </c>
      <c r="C78" s="346"/>
    </row>
    <row r="79" spans="1:18" ht="13">
      <c r="B79" s="340" t="s">
        <v>799</v>
      </c>
      <c r="C79" s="274">
        <f ca="1">1-C80</f>
        <v>0.72199999999999998</v>
      </c>
    </row>
    <row r="80" spans="1:18" ht="13">
      <c r="B80" s="340" t="s">
        <v>800</v>
      </c>
      <c r="C80" s="274">
        <f ca="1">ROUND(C75/C39,3)</f>
        <v>0.27800000000000002</v>
      </c>
    </row>
    <row r="81" spans="2:3" ht="13.5">
      <c r="B81" s="270" t="s">
        <v>801</v>
      </c>
      <c r="C81" s="238"/>
    </row>
    <row r="82" spans="2:3" ht="13">
      <c r="B82" s="273" t="s">
        <v>802</v>
      </c>
      <c r="C82" s="275">
        <f ca="1">1-C83</f>
        <v>0.83299999999999996</v>
      </c>
    </row>
    <row r="83" spans="2:3" ht="13">
      <c r="B83" s="273" t="s">
        <v>803</v>
      </c>
      <c r="C83" s="274">
        <f ca="1">ROUND(C13/C40,3)</f>
        <v>0.16700000000000001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80:L89"/>
  <sheetViews>
    <sheetView topLeftCell="F93" workbookViewId="0">
      <selection activeCell="F93" sqref="F93"/>
    </sheetView>
  </sheetViews>
  <sheetFormatPr defaultRowHeight="14"/>
  <cols>
    <col min="10" max="10" width="9" customWidth="1"/>
  </cols>
  <sheetData>
    <row r="80" spans="6:12">
      <c r="F80" s="3783">
        <v>8.1</v>
      </c>
      <c r="G80" s="3470" t="s">
        <v>3442</v>
      </c>
      <c r="H80" s="3472" t="s">
        <v>3443</v>
      </c>
      <c r="I80" s="3472" t="s">
        <v>3444</v>
      </c>
      <c r="J80" s="3473" t="s">
        <v>3445</v>
      </c>
      <c r="K80" s="3473" t="s">
        <v>3446</v>
      </c>
      <c r="L80" s="3473" t="s">
        <v>3447</v>
      </c>
    </row>
    <row r="81" spans="6:12">
      <c r="F81" s="3784"/>
      <c r="G81" s="3471">
        <v>0.2</v>
      </c>
      <c r="H81" s="3469">
        <f>$F$80*G81</f>
        <v>1.62</v>
      </c>
      <c r="I81" s="3469">
        <f>H81/2</f>
        <v>0.81</v>
      </c>
      <c r="J81" s="3469">
        <v>0</v>
      </c>
      <c r="K81" s="3469" t="str">
        <f>"-"&amp;I81</f>
        <v>-0.81</v>
      </c>
      <c r="L81" s="3469" t="str">
        <f>"-"&amp;H81</f>
        <v>-1.62</v>
      </c>
    </row>
    <row r="82" spans="6:12">
      <c r="F82" s="3784"/>
      <c r="G82" s="3471">
        <v>0.26</v>
      </c>
      <c r="H82" s="3469">
        <f t="shared" ref="H82:H89" si="0">$F$80*G82</f>
        <v>2.1059999999999999</v>
      </c>
      <c r="I82" s="3469">
        <f t="shared" ref="I82:I89" si="1">H82/2</f>
        <v>1.0529999999999999</v>
      </c>
      <c r="J82" s="3469">
        <v>0</v>
      </c>
      <c r="K82" s="3469" t="str">
        <f t="shared" ref="K82:K89" si="2">"-"&amp;I82</f>
        <v>-1.053</v>
      </c>
      <c r="L82" s="3469" t="str">
        <f t="shared" ref="L82:L89" si="3">"-"&amp;H82</f>
        <v>-2.106</v>
      </c>
    </row>
    <row r="83" spans="6:12">
      <c r="F83" s="3784"/>
      <c r="G83" s="3471">
        <v>0.1</v>
      </c>
      <c r="H83" s="3469">
        <f t="shared" si="0"/>
        <v>0.81</v>
      </c>
      <c r="I83" s="3469">
        <f t="shared" si="1"/>
        <v>0.40500000000000003</v>
      </c>
      <c r="J83" s="3469">
        <v>0</v>
      </c>
      <c r="K83" s="3469" t="str">
        <f t="shared" si="2"/>
        <v>-0.405</v>
      </c>
      <c r="L83" s="3469" t="str">
        <f t="shared" si="3"/>
        <v>-0.81</v>
      </c>
    </row>
    <row r="84" spans="6:12">
      <c r="F84" s="3784"/>
      <c r="G84" s="3471">
        <v>0.05</v>
      </c>
      <c r="H84" s="3469">
        <f t="shared" si="0"/>
        <v>0.40500000000000003</v>
      </c>
      <c r="I84" s="3469">
        <f t="shared" si="1"/>
        <v>0.20250000000000001</v>
      </c>
      <c r="J84" s="3469">
        <v>0</v>
      </c>
      <c r="K84" s="3469" t="str">
        <f t="shared" si="2"/>
        <v>-0.2025</v>
      </c>
      <c r="L84" s="3469" t="str">
        <f t="shared" si="3"/>
        <v>-0.405</v>
      </c>
    </row>
    <row r="85" spans="6:12">
      <c r="F85" s="3784"/>
      <c r="G85" s="3471">
        <v>0.08</v>
      </c>
      <c r="H85" s="3469">
        <f t="shared" si="0"/>
        <v>0.64800000000000002</v>
      </c>
      <c r="I85" s="3469">
        <f t="shared" si="1"/>
        <v>0.32400000000000001</v>
      </c>
      <c r="J85" s="3469">
        <v>0</v>
      </c>
      <c r="K85" s="3469" t="str">
        <f t="shared" si="2"/>
        <v>-0.324</v>
      </c>
      <c r="L85" s="3469" t="str">
        <f t="shared" si="3"/>
        <v>-0.648</v>
      </c>
    </row>
    <row r="86" spans="6:12">
      <c r="F86" s="3784"/>
      <c r="G86" s="3471">
        <v>0.09</v>
      </c>
      <c r="H86" s="3469">
        <f t="shared" si="0"/>
        <v>0.72899999999999998</v>
      </c>
      <c r="I86" s="3469">
        <f t="shared" si="1"/>
        <v>0.36449999999999999</v>
      </c>
      <c r="J86" s="3469">
        <v>0</v>
      </c>
      <c r="K86" s="3469" t="str">
        <f t="shared" si="2"/>
        <v>-0.3645</v>
      </c>
      <c r="L86" s="3469" t="str">
        <f t="shared" si="3"/>
        <v>-0.729</v>
      </c>
    </row>
    <row r="87" spans="6:12">
      <c r="F87" s="3784"/>
      <c r="G87" s="3471">
        <v>0.05</v>
      </c>
      <c r="H87" s="3469">
        <f t="shared" si="0"/>
        <v>0.40500000000000003</v>
      </c>
      <c r="I87" s="3469">
        <f t="shared" si="1"/>
        <v>0.20250000000000001</v>
      </c>
      <c r="J87" s="3469">
        <v>0</v>
      </c>
      <c r="K87" s="3469" t="str">
        <f t="shared" si="2"/>
        <v>-0.2025</v>
      </c>
      <c r="L87" s="3469" t="str">
        <f t="shared" si="3"/>
        <v>-0.405</v>
      </c>
    </row>
    <row r="88" spans="6:12">
      <c r="F88" s="3784"/>
      <c r="G88" s="3471">
        <v>0.12</v>
      </c>
      <c r="H88" s="3469">
        <f t="shared" si="0"/>
        <v>0.97199999999999998</v>
      </c>
      <c r="I88" s="3469">
        <f t="shared" si="1"/>
        <v>0.48599999999999999</v>
      </c>
      <c r="J88" s="3469">
        <v>0</v>
      </c>
      <c r="K88" s="3469" t="str">
        <f t="shared" si="2"/>
        <v>-0.486</v>
      </c>
      <c r="L88" s="3469" t="str">
        <f t="shared" si="3"/>
        <v>-0.972</v>
      </c>
    </row>
    <row r="89" spans="6:12">
      <c r="F89" s="3785"/>
      <c r="G89" s="3471">
        <v>0.05</v>
      </c>
      <c r="H89" s="3469">
        <f t="shared" si="0"/>
        <v>0.40500000000000003</v>
      </c>
      <c r="I89" s="3469">
        <f t="shared" si="1"/>
        <v>0.20250000000000001</v>
      </c>
      <c r="J89" s="3469">
        <v>0</v>
      </c>
      <c r="K89" s="3469" t="str">
        <f t="shared" si="2"/>
        <v>-0.2025</v>
      </c>
      <c r="L89" s="3469" t="str">
        <f t="shared" si="3"/>
        <v>-0.405</v>
      </c>
    </row>
  </sheetData>
  <mergeCells count="1">
    <mergeCell ref="F80:F89"/>
  </mergeCells>
  <phoneticPr fontId="134" type="noConversion"/>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6953125" defaultRowHeight="19.5" customHeight="1"/>
  <cols>
    <col min="1" max="13" width="15.26953125" style="3072" customWidth="1"/>
    <col min="14" max="14" width="10" style="3072" customWidth="1"/>
    <col min="15" max="16" width="8.26953125" style="3072"/>
    <col min="17" max="17" width="34.08984375" style="3072" customWidth="1"/>
    <col min="18" max="18" width="8.26953125" style="3072" customWidth="1"/>
    <col min="19" max="19" width="8.26953125" style="3072"/>
    <col min="20" max="20" width="11.6328125" style="3072" customWidth="1"/>
    <col min="21" max="16384" width="8.269531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93" t="s">
        <v>2610</v>
      </c>
      <c r="B20" s="3786" t="s">
        <v>2631</v>
      </c>
      <c r="C20" s="3101" t="s">
        <v>2442</v>
      </c>
      <c r="D20" s="3102"/>
      <c r="E20" s="3103">
        <v>1</v>
      </c>
      <c r="F20" s="3104" t="s">
        <v>2443</v>
      </c>
      <c r="G20" s="3104"/>
    </row>
    <row r="21" spans="1:13" ht="19.5" customHeight="1">
      <c r="A21" s="3794"/>
      <c r="B21" s="3787"/>
      <c r="C21" s="3105" t="s">
        <v>2444</v>
      </c>
      <c r="D21" s="3106"/>
      <c r="E21" s="3107">
        <v>1</v>
      </c>
      <c r="F21" s="3104" t="s">
        <v>2445</v>
      </c>
      <c r="G21" s="3104"/>
    </row>
    <row r="22" spans="1:13" ht="19.5" customHeight="1">
      <c r="A22" s="3794"/>
      <c r="B22" s="3787"/>
      <c r="C22" s="3105" t="s">
        <v>2446</v>
      </c>
      <c r="D22" s="3106"/>
      <c r="E22" s="3107">
        <v>0.9</v>
      </c>
      <c r="F22" s="3104" t="s">
        <v>2447</v>
      </c>
      <c r="G22" s="3104"/>
    </row>
    <row r="23" spans="1:13" ht="19.5" customHeight="1">
      <c r="A23" s="3794"/>
      <c r="B23" s="3787"/>
      <c r="C23" s="3105" t="s">
        <v>2448</v>
      </c>
      <c r="D23" s="3106"/>
      <c r="E23" s="3107">
        <v>0.9</v>
      </c>
      <c r="F23" s="3104" t="s">
        <v>2449</v>
      </c>
      <c r="G23" s="3104"/>
    </row>
    <row r="24" spans="1:13" ht="19.5" customHeight="1">
      <c r="A24" s="3794"/>
      <c r="B24" s="3787"/>
      <c r="C24" s="3105" t="s">
        <v>2450</v>
      </c>
      <c r="D24" s="3106"/>
      <c r="E24" s="3107">
        <v>0.8</v>
      </c>
      <c r="F24" s="3104" t="s">
        <v>2451</v>
      </c>
      <c r="G24" s="3104"/>
    </row>
    <row r="25" spans="1:13" ht="19.5" customHeight="1" thickBot="1">
      <c r="A25" s="3795"/>
      <c r="B25" s="3788"/>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89" t="s">
        <v>2634</v>
      </c>
      <c r="B27" s="3786" t="s">
        <v>2615</v>
      </c>
      <c r="C27" s="3101" t="s">
        <v>2455</v>
      </c>
      <c r="D27" s="3102"/>
      <c r="E27" s="3103">
        <v>1</v>
      </c>
      <c r="F27" s="3104" t="s">
        <v>2456</v>
      </c>
      <c r="G27" s="3104"/>
    </row>
    <row r="28" spans="1:13" ht="19.5" customHeight="1">
      <c r="A28" s="3790"/>
      <c r="B28" s="3787"/>
      <c r="C28" s="3105" t="s">
        <v>2457</v>
      </c>
      <c r="D28" s="3106"/>
      <c r="E28" s="3107">
        <v>1</v>
      </c>
      <c r="F28" s="3104" t="s">
        <v>2458</v>
      </c>
      <c r="G28" s="3104"/>
    </row>
    <row r="29" spans="1:13" ht="19.5" customHeight="1">
      <c r="A29" s="3790"/>
      <c r="B29" s="3787"/>
      <c r="C29" s="3105" t="s">
        <v>2459</v>
      </c>
      <c r="D29" s="3106"/>
      <c r="E29" s="3107">
        <v>0.8</v>
      </c>
      <c r="F29" s="3104" t="s">
        <v>2460</v>
      </c>
      <c r="G29" s="3104"/>
    </row>
    <row r="30" spans="1:13" ht="19.5" customHeight="1">
      <c r="A30" s="3790"/>
      <c r="B30" s="3787"/>
      <c r="C30" s="3105" t="s">
        <v>2461</v>
      </c>
      <c r="D30" s="3106"/>
      <c r="E30" s="3107">
        <v>0.8</v>
      </c>
      <c r="F30" s="3104" t="s">
        <v>2462</v>
      </c>
      <c r="G30" s="3104"/>
    </row>
    <row r="31" spans="1:13" ht="19.5" customHeight="1">
      <c r="A31" s="3790"/>
      <c r="B31" s="3787"/>
      <c r="C31" s="3105" t="s">
        <v>2463</v>
      </c>
      <c r="D31" s="3106"/>
      <c r="E31" s="3107">
        <v>0.8</v>
      </c>
      <c r="F31" s="3104" t="s">
        <v>2464</v>
      </c>
      <c r="G31" s="3104"/>
    </row>
    <row r="32" spans="1:13" ht="19.5" customHeight="1">
      <c r="A32" s="3790"/>
      <c r="B32" s="3787"/>
      <c r="C32" s="3105" t="s">
        <v>2465</v>
      </c>
      <c r="D32" s="3106"/>
      <c r="E32" s="3107">
        <v>0.7</v>
      </c>
      <c r="F32" s="3104" t="s">
        <v>2466</v>
      </c>
      <c r="G32" s="3104"/>
    </row>
    <row r="33" spans="1:7" ht="19.5" customHeight="1">
      <c r="A33" s="3790"/>
      <c r="B33" s="3787"/>
      <c r="C33" s="3105" t="s">
        <v>2467</v>
      </c>
      <c r="D33" s="3106"/>
      <c r="E33" s="3107">
        <v>0.8</v>
      </c>
      <c r="F33" s="3104" t="s">
        <v>2468</v>
      </c>
      <c r="G33" s="3104"/>
    </row>
    <row r="34" spans="1:7" ht="19.5" customHeight="1">
      <c r="A34" s="3790"/>
      <c r="B34" s="3787"/>
      <c r="C34" s="3105" t="s">
        <v>2469</v>
      </c>
      <c r="D34" s="3106"/>
      <c r="E34" s="3107">
        <v>0.6</v>
      </c>
      <c r="F34" s="3104" t="s">
        <v>2470</v>
      </c>
      <c r="G34" s="3104"/>
    </row>
    <row r="35" spans="1:7" ht="19.5" customHeight="1">
      <c r="A35" s="3790"/>
      <c r="B35" s="3787"/>
      <c r="C35" s="3105" t="s">
        <v>2471</v>
      </c>
      <c r="D35" s="3106"/>
      <c r="E35" s="3107">
        <v>0.2</v>
      </c>
      <c r="F35" s="3104" t="s">
        <v>2472</v>
      </c>
      <c r="G35" s="3104"/>
    </row>
    <row r="36" spans="1:7" ht="19.5" customHeight="1">
      <c r="A36" s="3790"/>
      <c r="B36" s="3787"/>
      <c r="C36" s="3105" t="s">
        <v>2473</v>
      </c>
      <c r="D36" s="3106"/>
      <c r="E36" s="3107">
        <v>0.2</v>
      </c>
      <c r="F36" s="3104" t="s">
        <v>2474</v>
      </c>
      <c r="G36" s="3104"/>
    </row>
    <row r="37" spans="1:7" ht="19.5" customHeight="1">
      <c r="A37" s="3790"/>
      <c r="B37" s="3792" t="s">
        <v>2635</v>
      </c>
      <c r="C37" s="3105" t="s">
        <v>2475</v>
      </c>
      <c r="D37" s="3106"/>
      <c r="E37" s="3107">
        <v>0.6</v>
      </c>
      <c r="F37" s="3104" t="s">
        <v>2476</v>
      </c>
      <c r="G37" s="3104"/>
    </row>
    <row r="38" spans="1:7" ht="19.5" customHeight="1">
      <c r="A38" s="3790"/>
      <c r="B38" s="3787"/>
      <c r="C38" s="3105" t="s">
        <v>2477</v>
      </c>
      <c r="D38" s="3106"/>
      <c r="E38" s="3107">
        <v>0.6</v>
      </c>
      <c r="F38" s="3104" t="s">
        <v>2478</v>
      </c>
      <c r="G38" s="3104"/>
    </row>
    <row r="39" spans="1:7" ht="19.5" customHeight="1" thickBot="1">
      <c r="A39" s="3791"/>
      <c r="B39" s="3788"/>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93" t="s">
        <v>2613</v>
      </c>
      <c r="B41" s="3786" t="s">
        <v>2637</v>
      </c>
      <c r="C41" s="3101" t="s">
        <v>2482</v>
      </c>
      <c r="D41" s="3102"/>
      <c r="E41" s="3103">
        <v>1</v>
      </c>
      <c r="F41" s="3104" t="s">
        <v>2483</v>
      </c>
      <c r="G41" s="3104"/>
    </row>
    <row r="42" spans="1:7" ht="19.5" customHeight="1">
      <c r="A42" s="3794"/>
      <c r="B42" s="3787"/>
      <c r="C42" s="3105" t="s">
        <v>2484</v>
      </c>
      <c r="D42" s="3106"/>
      <c r="E42" s="3107">
        <v>1</v>
      </c>
      <c r="F42" s="3104" t="s">
        <v>2485</v>
      </c>
      <c r="G42" s="3104"/>
    </row>
    <row r="43" spans="1:7" ht="19.5" customHeight="1">
      <c r="A43" s="3794"/>
      <c r="B43" s="3796"/>
      <c r="C43" s="3105" t="s">
        <v>2486</v>
      </c>
      <c r="D43" s="3106"/>
      <c r="E43" s="3107">
        <v>1.5</v>
      </c>
      <c r="F43" s="3104" t="s">
        <v>2487</v>
      </c>
      <c r="G43" s="3104"/>
    </row>
    <row r="44" spans="1:7" ht="19.5" customHeight="1">
      <c r="A44" s="3794"/>
      <c r="B44" s="3116" t="s">
        <v>2638</v>
      </c>
      <c r="C44" s="3105" t="s">
        <v>2639</v>
      </c>
      <c r="D44" s="3106"/>
      <c r="E44" s="3107">
        <v>2</v>
      </c>
      <c r="F44" s="3104" t="s">
        <v>2488</v>
      </c>
      <c r="G44" s="3104"/>
    </row>
    <row r="45" spans="1:7" ht="19.5" customHeight="1">
      <c r="A45" s="3794"/>
      <c r="B45" s="3792" t="s">
        <v>2640</v>
      </c>
      <c r="C45" s="3105" t="s">
        <v>2489</v>
      </c>
      <c r="D45" s="3106"/>
      <c r="E45" s="3107">
        <v>1</v>
      </c>
      <c r="F45" s="3104" t="s">
        <v>2490</v>
      </c>
      <c r="G45" s="3104"/>
    </row>
    <row r="46" spans="1:7" ht="19.5" customHeight="1">
      <c r="A46" s="3794"/>
      <c r="B46" s="3787"/>
      <c r="C46" s="3105" t="s">
        <v>2491</v>
      </c>
      <c r="D46" s="3106"/>
      <c r="E46" s="3107">
        <v>1</v>
      </c>
      <c r="F46" s="3104" t="s">
        <v>2492</v>
      </c>
      <c r="G46" s="3104"/>
    </row>
    <row r="47" spans="1:7" ht="19.5" customHeight="1">
      <c r="A47" s="3794"/>
      <c r="B47" s="3787"/>
      <c r="C47" s="3105" t="s">
        <v>2493</v>
      </c>
      <c r="D47" s="3106"/>
      <c r="E47" s="3107">
        <v>1</v>
      </c>
      <c r="F47" s="3104" t="s">
        <v>2494</v>
      </c>
      <c r="G47" s="3104"/>
    </row>
    <row r="48" spans="1:7" ht="19.5" customHeight="1">
      <c r="A48" s="3794"/>
      <c r="B48" s="3787"/>
      <c r="C48" s="3105" t="s">
        <v>2495</v>
      </c>
      <c r="D48" s="3106"/>
      <c r="E48" s="3107">
        <v>1</v>
      </c>
      <c r="F48" s="3104" t="s">
        <v>2496</v>
      </c>
      <c r="G48" s="3104"/>
    </row>
    <row r="49" spans="1:7" ht="19.5" customHeight="1">
      <c r="A49" s="3794"/>
      <c r="B49" s="3787"/>
      <c r="C49" s="3105" t="s">
        <v>2497</v>
      </c>
      <c r="D49" s="3106"/>
      <c r="E49" s="3107">
        <v>1</v>
      </c>
      <c r="F49" s="3104" t="s">
        <v>2498</v>
      </c>
      <c r="G49" s="3104"/>
    </row>
    <row r="50" spans="1:7" ht="19.5" customHeight="1">
      <c r="A50" s="3794"/>
      <c r="B50" s="3787"/>
      <c r="C50" s="3105" t="s">
        <v>2499</v>
      </c>
      <c r="D50" s="3106"/>
      <c r="E50" s="3107">
        <v>1</v>
      </c>
      <c r="F50" s="3104" t="s">
        <v>2500</v>
      </c>
      <c r="G50" s="3104"/>
    </row>
    <row r="51" spans="1:7" ht="19.5" customHeight="1" thickBot="1">
      <c r="A51" s="3795"/>
      <c r="B51" s="3788"/>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4">
      <c r="A72" s="3116"/>
      <c r="B72" s="3116"/>
      <c r="C72" s="3116" t="s">
        <v>2653</v>
      </c>
      <c r="D72" s="3116"/>
      <c r="E72" s="3116" t="s">
        <v>2624</v>
      </c>
      <c r="F72" s="3116" t="s">
        <v>2624</v>
      </c>
    </row>
    <row r="73" spans="1:7" ht="14">
      <c r="A73" s="3116">
        <v>1</v>
      </c>
      <c r="B73" s="3792" t="s">
        <v>2654</v>
      </c>
      <c r="C73" s="3090" t="s">
        <v>2655</v>
      </c>
      <c r="D73" s="3090" t="s">
        <v>2656</v>
      </c>
      <c r="E73" s="3116">
        <v>0.2</v>
      </c>
      <c r="F73" s="3116">
        <v>25</v>
      </c>
    </row>
    <row r="74" spans="1:7" ht="26">
      <c r="A74" s="3116">
        <v>2</v>
      </c>
      <c r="B74" s="3787"/>
      <c r="C74" s="3090" t="s">
        <v>2657</v>
      </c>
      <c r="D74" s="3090" t="s">
        <v>2658</v>
      </c>
      <c r="E74" s="3116">
        <v>0.2</v>
      </c>
      <c r="F74" s="3116">
        <v>25</v>
      </c>
    </row>
    <row r="75" spans="1:7" ht="26">
      <c r="A75" s="3116">
        <v>3</v>
      </c>
      <c r="B75" s="3787"/>
      <c r="C75" s="3090" t="s">
        <v>2659</v>
      </c>
      <c r="D75" s="3090" t="s">
        <v>2660</v>
      </c>
      <c r="E75" s="3116">
        <v>0.2</v>
      </c>
      <c r="F75" s="3116">
        <v>25</v>
      </c>
    </row>
    <row r="76" spans="1:7" ht="14">
      <c r="A76" s="3116">
        <v>4</v>
      </c>
      <c r="B76" s="3787"/>
      <c r="C76" s="3090" t="s">
        <v>2661</v>
      </c>
      <c r="D76" s="3090" t="s">
        <v>2662</v>
      </c>
      <c r="E76" s="3116">
        <v>0.15</v>
      </c>
      <c r="F76" s="3116">
        <v>20</v>
      </c>
    </row>
    <row r="77" spans="1:7" ht="26">
      <c r="A77" s="3116">
        <v>5</v>
      </c>
      <c r="B77" s="3787"/>
      <c r="C77" s="3090" t="s">
        <v>2663</v>
      </c>
      <c r="D77" s="3090" t="s">
        <v>2664</v>
      </c>
      <c r="E77" s="3116">
        <v>0.15</v>
      </c>
      <c r="F77" s="3116">
        <v>20</v>
      </c>
    </row>
    <row r="78" spans="1:7" ht="26">
      <c r="A78" s="3116">
        <v>6</v>
      </c>
      <c r="B78" s="3787"/>
      <c r="C78" s="3090" t="s">
        <v>2665</v>
      </c>
      <c r="D78" s="3090" t="s">
        <v>2666</v>
      </c>
      <c r="E78" s="3116">
        <v>0.15</v>
      </c>
      <c r="F78" s="3116">
        <v>20</v>
      </c>
    </row>
    <row r="79" spans="1:7" ht="26">
      <c r="A79" s="3116">
        <v>7</v>
      </c>
      <c r="B79" s="3787"/>
      <c r="C79" s="3090" t="s">
        <v>2667</v>
      </c>
      <c r="D79" s="3090" t="s">
        <v>2668</v>
      </c>
      <c r="E79" s="3116">
        <v>0.15</v>
      </c>
      <c r="F79" s="3116">
        <v>20</v>
      </c>
    </row>
    <row r="80" spans="1:7" ht="26">
      <c r="A80" s="3116">
        <v>8</v>
      </c>
      <c r="B80" s="3787"/>
      <c r="C80" s="3090" t="s">
        <v>2669</v>
      </c>
      <c r="D80" s="3090" t="s">
        <v>2670</v>
      </c>
      <c r="E80" s="3116">
        <v>0.1</v>
      </c>
      <c r="F80" s="3116">
        <v>15</v>
      </c>
    </row>
    <row r="81" spans="1:6" ht="26">
      <c r="A81" s="3116">
        <v>9</v>
      </c>
      <c r="B81" s="3787"/>
      <c r="C81" s="3090" t="s">
        <v>2671</v>
      </c>
      <c r="D81" s="3090" t="s">
        <v>2672</v>
      </c>
      <c r="E81" s="3116">
        <v>0.1</v>
      </c>
      <c r="F81" s="3116">
        <v>15</v>
      </c>
    </row>
    <row r="82" spans="1:6" ht="26">
      <c r="A82" s="3116">
        <v>10</v>
      </c>
      <c r="B82" s="3787"/>
      <c r="C82" s="3090" t="s">
        <v>2673</v>
      </c>
      <c r="D82" s="3090" t="s">
        <v>2674</v>
      </c>
      <c r="E82" s="3116">
        <v>0.1</v>
      </c>
      <c r="F82" s="3116">
        <v>15</v>
      </c>
    </row>
    <row r="83" spans="1:6" ht="26">
      <c r="A83" s="3116">
        <v>11</v>
      </c>
      <c r="B83" s="3787"/>
      <c r="C83" s="3090" t="s">
        <v>2675</v>
      </c>
      <c r="D83" s="3090" t="s">
        <v>2676</v>
      </c>
      <c r="E83" s="3116">
        <v>0.1</v>
      </c>
      <c r="F83" s="3116">
        <v>15</v>
      </c>
    </row>
    <row r="84" spans="1:6" ht="26">
      <c r="A84" s="3116">
        <v>12</v>
      </c>
      <c r="B84" s="3787"/>
      <c r="C84" s="3090" t="s">
        <v>2677</v>
      </c>
      <c r="D84" s="3090" t="s">
        <v>2678</v>
      </c>
      <c r="E84" s="3116">
        <v>0.1</v>
      </c>
      <c r="F84" s="3116">
        <v>15</v>
      </c>
    </row>
    <row r="85" spans="1:6" ht="14">
      <c r="A85" s="3116">
        <v>13</v>
      </c>
      <c r="B85" s="3787"/>
      <c r="C85" s="3090" t="s">
        <v>2679</v>
      </c>
      <c r="D85" s="3090" t="s">
        <v>2680</v>
      </c>
      <c r="E85" s="3116">
        <v>0.1</v>
      </c>
      <c r="F85" s="3116">
        <v>15</v>
      </c>
    </row>
    <row r="86" spans="1:6" ht="14">
      <c r="A86" s="3116">
        <v>14</v>
      </c>
      <c r="B86" s="3787"/>
      <c r="C86" s="3090" t="s">
        <v>2681</v>
      </c>
      <c r="D86" s="3090" t="s">
        <v>2682</v>
      </c>
      <c r="E86" s="3116">
        <v>0.1</v>
      </c>
      <c r="F86" s="3116">
        <v>15</v>
      </c>
    </row>
    <row r="87" spans="1:6" ht="14">
      <c r="A87" s="3116">
        <v>15</v>
      </c>
      <c r="B87" s="3787"/>
      <c r="C87" s="3090" t="s">
        <v>2683</v>
      </c>
      <c r="D87" s="3090" t="s">
        <v>2684</v>
      </c>
      <c r="E87" s="3116">
        <v>0.1</v>
      </c>
      <c r="F87" s="3116">
        <v>15</v>
      </c>
    </row>
    <row r="88" spans="1:6" ht="26">
      <c r="A88" s="3116">
        <v>16</v>
      </c>
      <c r="B88" s="3787"/>
      <c r="C88" s="3090" t="s">
        <v>2685</v>
      </c>
      <c r="D88" s="3090" t="s">
        <v>2686</v>
      </c>
      <c r="E88" s="3116">
        <v>0.1</v>
      </c>
      <c r="F88" s="3116">
        <v>15</v>
      </c>
    </row>
    <row r="89" spans="1:6" ht="26">
      <c r="A89" s="3116">
        <v>17</v>
      </c>
      <c r="B89" s="3796"/>
      <c r="C89" s="3090" t="s">
        <v>2687</v>
      </c>
      <c r="D89" s="3090" t="s">
        <v>2688</v>
      </c>
      <c r="E89" s="3116">
        <v>0.1</v>
      </c>
      <c r="F89" s="3116">
        <v>15</v>
      </c>
    </row>
    <row r="90" spans="1:6" ht="14">
      <c r="A90" s="3116">
        <v>18</v>
      </c>
      <c r="B90" s="3792" t="s">
        <v>2689</v>
      </c>
      <c r="C90" s="3090" t="s">
        <v>2690</v>
      </c>
      <c r="D90" s="3090" t="s">
        <v>2691</v>
      </c>
      <c r="E90" s="3116">
        <v>0.2</v>
      </c>
      <c r="F90" s="3116">
        <v>25</v>
      </c>
    </row>
    <row r="91" spans="1:6" ht="26">
      <c r="A91" s="3116">
        <v>19</v>
      </c>
      <c r="B91" s="3787"/>
      <c r="C91" s="3090" t="s">
        <v>2692</v>
      </c>
      <c r="D91" s="3090" t="s">
        <v>2693</v>
      </c>
      <c r="E91" s="3116">
        <v>0.2</v>
      </c>
      <c r="F91" s="3116">
        <v>25</v>
      </c>
    </row>
    <row r="92" spans="1:6" ht="14">
      <c r="A92" s="3116">
        <v>20</v>
      </c>
      <c r="B92" s="3787"/>
      <c r="C92" s="3090" t="s">
        <v>2694</v>
      </c>
      <c r="D92" s="3090" t="s">
        <v>2695</v>
      </c>
      <c r="E92" s="3116">
        <v>0.15</v>
      </c>
      <c r="F92" s="3116">
        <v>20</v>
      </c>
    </row>
    <row r="93" spans="1:6" ht="26">
      <c r="A93" s="3116">
        <v>21</v>
      </c>
      <c r="B93" s="3787"/>
      <c r="C93" s="3090" t="s">
        <v>2696</v>
      </c>
      <c r="D93" s="3090" t="s">
        <v>2697</v>
      </c>
      <c r="E93" s="3116">
        <v>0.15</v>
      </c>
      <c r="F93" s="3116">
        <v>20</v>
      </c>
    </row>
    <row r="94" spans="1:6" ht="26">
      <c r="A94" s="3116">
        <v>22</v>
      </c>
      <c r="B94" s="3787"/>
      <c r="C94" s="3090" t="s">
        <v>2698</v>
      </c>
      <c r="D94" s="3090" t="s">
        <v>2699</v>
      </c>
      <c r="E94" s="3116">
        <v>0.15</v>
      </c>
      <c r="F94" s="3116">
        <v>20</v>
      </c>
    </row>
    <row r="95" spans="1:6" ht="39">
      <c r="A95" s="3116">
        <v>23</v>
      </c>
      <c r="B95" s="3787"/>
      <c r="C95" s="3090" t="s">
        <v>2700</v>
      </c>
      <c r="D95" s="3090" t="s">
        <v>2701</v>
      </c>
      <c r="E95" s="3116">
        <v>0.15</v>
      </c>
      <c r="F95" s="3116">
        <v>20</v>
      </c>
    </row>
    <row r="96" spans="1:6" ht="14">
      <c r="A96" s="3116">
        <v>24</v>
      </c>
      <c r="B96" s="3787"/>
      <c r="C96" s="3090" t="s">
        <v>2702</v>
      </c>
      <c r="D96" s="3090" t="s">
        <v>2703</v>
      </c>
      <c r="E96" s="3116">
        <v>0.1</v>
      </c>
      <c r="F96" s="3116">
        <v>15</v>
      </c>
    </row>
    <row r="97" spans="1:6" ht="26">
      <c r="A97" s="3116">
        <v>25</v>
      </c>
      <c r="B97" s="3787"/>
      <c r="C97" s="3090" t="s">
        <v>2704</v>
      </c>
      <c r="D97" s="3090" t="s">
        <v>2705</v>
      </c>
      <c r="E97" s="3116">
        <v>0.1</v>
      </c>
      <c r="F97" s="3116">
        <v>15</v>
      </c>
    </row>
    <row r="98" spans="1:6" ht="26">
      <c r="A98" s="3116">
        <v>26</v>
      </c>
      <c r="B98" s="3787"/>
      <c r="C98" s="3090" t="s">
        <v>2706</v>
      </c>
      <c r="D98" s="3090" t="s">
        <v>2707</v>
      </c>
      <c r="E98" s="3116">
        <v>0.1</v>
      </c>
      <c r="F98" s="3116">
        <v>15</v>
      </c>
    </row>
    <row r="99" spans="1:6" ht="26">
      <c r="A99" s="3116">
        <v>27</v>
      </c>
      <c r="B99" s="3787"/>
      <c r="C99" s="3090" t="s">
        <v>2708</v>
      </c>
      <c r="D99" s="3090" t="s">
        <v>2709</v>
      </c>
      <c r="E99" s="3116">
        <v>0.1</v>
      </c>
      <c r="F99" s="3116">
        <v>15</v>
      </c>
    </row>
    <row r="100" spans="1:6" ht="26">
      <c r="A100" s="3116">
        <v>28</v>
      </c>
      <c r="B100" s="3787"/>
      <c r="C100" s="3090" t="s">
        <v>2710</v>
      </c>
      <c r="D100" s="3090" t="s">
        <v>2711</v>
      </c>
      <c r="E100" s="3116">
        <v>0.1</v>
      </c>
      <c r="F100" s="3116">
        <v>15</v>
      </c>
    </row>
    <row r="101" spans="1:6" ht="26">
      <c r="A101" s="3116">
        <v>29</v>
      </c>
      <c r="B101" s="3787"/>
      <c r="C101" s="3090" t="s">
        <v>2712</v>
      </c>
      <c r="D101" s="3090" t="s">
        <v>2713</v>
      </c>
      <c r="E101" s="3116">
        <v>0.1</v>
      </c>
      <c r="F101" s="3116">
        <v>15</v>
      </c>
    </row>
    <row r="102" spans="1:6" ht="26">
      <c r="A102" s="3116">
        <v>30</v>
      </c>
      <c r="B102" s="3787"/>
      <c r="C102" s="3090" t="s">
        <v>2714</v>
      </c>
      <c r="D102" s="3090" t="s">
        <v>2715</v>
      </c>
      <c r="E102" s="3116">
        <v>0.1</v>
      </c>
      <c r="F102" s="3116">
        <v>15</v>
      </c>
    </row>
    <row r="103" spans="1:6" ht="26">
      <c r="A103" s="3116">
        <v>31</v>
      </c>
      <c r="B103" s="3787"/>
      <c r="C103" s="3090" t="s">
        <v>2716</v>
      </c>
      <c r="D103" s="3090" t="s">
        <v>2717</v>
      </c>
      <c r="E103" s="3116">
        <v>0.1</v>
      </c>
      <c r="F103" s="3116">
        <v>15</v>
      </c>
    </row>
    <row r="104" spans="1:6" ht="26">
      <c r="A104" s="3116">
        <v>32</v>
      </c>
      <c r="B104" s="3787"/>
      <c r="C104" s="3090" t="s">
        <v>2718</v>
      </c>
      <c r="D104" s="3090" t="s">
        <v>2719</v>
      </c>
      <c r="E104" s="3116">
        <v>0.1</v>
      </c>
      <c r="F104" s="3116">
        <v>15</v>
      </c>
    </row>
    <row r="105" spans="1:6" ht="26">
      <c r="A105" s="3116">
        <v>33</v>
      </c>
      <c r="B105" s="3787"/>
      <c r="C105" s="3090" t="s">
        <v>2720</v>
      </c>
      <c r="D105" s="3090" t="s">
        <v>2721</v>
      </c>
      <c r="E105" s="3116">
        <v>0.1</v>
      </c>
      <c r="F105" s="3116">
        <v>15</v>
      </c>
    </row>
    <row r="106" spans="1:6" ht="26">
      <c r="A106" s="3116">
        <v>34</v>
      </c>
      <c r="B106" s="3796"/>
      <c r="C106" s="3090" t="s">
        <v>2722</v>
      </c>
      <c r="D106" s="3090" t="s">
        <v>2723</v>
      </c>
      <c r="E106" s="3116">
        <v>0.1</v>
      </c>
      <c r="F106" s="3116">
        <v>15</v>
      </c>
    </row>
    <row r="107" spans="1:6" ht="26">
      <c r="A107" s="3116">
        <v>35</v>
      </c>
      <c r="B107" s="3792" t="s">
        <v>2724</v>
      </c>
      <c r="C107" s="3116" t="s">
        <v>2725</v>
      </c>
      <c r="D107" s="3090" t="s">
        <v>2726</v>
      </c>
      <c r="E107" s="3116">
        <v>0.15</v>
      </c>
      <c r="F107" s="3116">
        <v>20</v>
      </c>
    </row>
    <row r="108" spans="1:6" ht="26">
      <c r="A108" s="3116">
        <v>36</v>
      </c>
      <c r="B108" s="3787"/>
      <c r="C108" s="3116" t="s">
        <v>2727</v>
      </c>
      <c r="D108" s="3090" t="s">
        <v>2728</v>
      </c>
      <c r="E108" s="3116">
        <v>0.15</v>
      </c>
      <c r="F108" s="3116">
        <v>20</v>
      </c>
    </row>
    <row r="109" spans="1:6" ht="26">
      <c r="A109" s="3116">
        <v>37</v>
      </c>
      <c r="B109" s="3787"/>
      <c r="C109" s="3116" t="s">
        <v>2729</v>
      </c>
      <c r="D109" s="3090" t="s">
        <v>2730</v>
      </c>
      <c r="E109" s="3116">
        <v>0.15</v>
      </c>
      <c r="F109" s="3116">
        <v>20</v>
      </c>
    </row>
    <row r="110" spans="1:6" ht="14">
      <c r="A110" s="3116">
        <v>38</v>
      </c>
      <c r="B110" s="3787"/>
      <c r="C110" s="3116" t="s">
        <v>2731</v>
      </c>
      <c r="D110" s="3090" t="s">
        <v>2732</v>
      </c>
      <c r="E110" s="3116">
        <v>0.1</v>
      </c>
      <c r="F110" s="3116">
        <v>15</v>
      </c>
    </row>
    <row r="111" spans="1:6" ht="26">
      <c r="A111" s="3116">
        <v>39</v>
      </c>
      <c r="B111" s="3787"/>
      <c r="C111" s="3116" t="s">
        <v>2733</v>
      </c>
      <c r="D111" s="3090" t="s">
        <v>2734</v>
      </c>
      <c r="E111" s="3116">
        <v>0.1</v>
      </c>
      <c r="F111" s="3116">
        <v>15</v>
      </c>
    </row>
    <row r="112" spans="1:6" ht="26">
      <c r="A112" s="3116">
        <v>40</v>
      </c>
      <c r="B112" s="3796"/>
      <c r="C112" s="3116" t="s">
        <v>2735</v>
      </c>
      <c r="D112" s="3090" t="s">
        <v>2736</v>
      </c>
      <c r="E112" s="3116">
        <v>0.1</v>
      </c>
      <c r="F112" s="3116">
        <v>15</v>
      </c>
    </row>
    <row r="113" spans="1:6" ht="26">
      <c r="A113" s="3116">
        <v>41</v>
      </c>
      <c r="B113" s="3797" t="s">
        <v>2737</v>
      </c>
      <c r="C113" s="3116" t="s">
        <v>2738</v>
      </c>
      <c r="D113" s="3090" t="s">
        <v>2739</v>
      </c>
      <c r="E113" s="3116">
        <v>0.1</v>
      </c>
      <c r="F113" s="3116">
        <v>15</v>
      </c>
    </row>
    <row r="114" spans="1:6" ht="14">
      <c r="A114" s="3116">
        <v>42</v>
      </c>
      <c r="B114" s="3797"/>
      <c r="C114" s="3116" t="s">
        <v>2740</v>
      </c>
      <c r="D114" s="3090" t="s">
        <v>2741</v>
      </c>
      <c r="E114" s="3116">
        <v>0.1</v>
      </c>
      <c r="F114" s="3116">
        <v>15</v>
      </c>
    </row>
    <row r="115" spans="1:6" ht="26">
      <c r="A115" s="3116">
        <v>43</v>
      </c>
      <c r="B115" s="3797"/>
      <c r="C115" s="3116" t="s">
        <v>2742</v>
      </c>
      <c r="D115" s="3090" t="s">
        <v>2743</v>
      </c>
      <c r="E115" s="3116">
        <v>0.1</v>
      </c>
      <c r="F115" s="3116">
        <v>15</v>
      </c>
    </row>
    <row r="116" spans="1:6" ht="26">
      <c r="A116" s="3116">
        <v>44</v>
      </c>
      <c r="B116" s="3792" t="s">
        <v>2744</v>
      </c>
      <c r="C116" s="3116" t="s">
        <v>2745</v>
      </c>
      <c r="D116" s="3090" t="s">
        <v>2746</v>
      </c>
      <c r="E116" s="3116">
        <v>0.1</v>
      </c>
      <c r="F116" s="3116">
        <v>15</v>
      </c>
    </row>
    <row r="117" spans="1:6" ht="26">
      <c r="A117" s="3116">
        <v>45</v>
      </c>
      <c r="B117" s="3796"/>
      <c r="C117" s="3090" t="s">
        <v>2747</v>
      </c>
      <c r="D117" s="3090" t="s">
        <v>2748</v>
      </c>
      <c r="E117" s="3116">
        <v>0.1</v>
      </c>
      <c r="F117" s="3116">
        <v>15</v>
      </c>
    </row>
    <row r="118" spans="1:6" ht="26">
      <c r="A118" s="3116">
        <v>46</v>
      </c>
      <c r="B118" s="3792" t="s">
        <v>2749</v>
      </c>
      <c r="C118" s="3116" t="s">
        <v>2750</v>
      </c>
      <c r="D118" s="3090" t="s">
        <v>2751</v>
      </c>
      <c r="E118" s="3116">
        <v>0.1</v>
      </c>
      <c r="F118" s="3116">
        <v>15</v>
      </c>
    </row>
    <row r="119" spans="1:6" ht="26">
      <c r="A119" s="3116">
        <v>47</v>
      </c>
      <c r="B119" s="3796"/>
      <c r="C119" s="3116" t="s">
        <v>2752</v>
      </c>
      <c r="D119" s="3090" t="s">
        <v>2753</v>
      </c>
      <c r="E119" s="3116">
        <v>0.1</v>
      </c>
      <c r="F119" s="3116">
        <v>15</v>
      </c>
    </row>
    <row r="120" spans="1:6" ht="26">
      <c r="A120" s="3116">
        <v>48</v>
      </c>
      <c r="B120" s="3792" t="s">
        <v>2754</v>
      </c>
      <c r="C120" s="3116" t="s">
        <v>2755</v>
      </c>
      <c r="D120" s="3090" t="s">
        <v>2756</v>
      </c>
      <c r="E120" s="3116">
        <v>0.1</v>
      </c>
      <c r="F120" s="3116">
        <v>15</v>
      </c>
    </row>
    <row r="121" spans="1:6" ht="14">
      <c r="A121" s="3116">
        <v>49</v>
      </c>
      <c r="B121" s="3796"/>
      <c r="C121" s="3116" t="s">
        <v>2757</v>
      </c>
      <c r="D121" s="3090" t="s">
        <v>2758</v>
      </c>
      <c r="E121" s="3116">
        <v>0.1</v>
      </c>
      <c r="F121" s="3116">
        <v>15</v>
      </c>
    </row>
    <row r="122" spans="1:6" ht="26">
      <c r="A122" s="3116">
        <v>50</v>
      </c>
      <c r="B122" s="3797" t="s">
        <v>2759</v>
      </c>
      <c r="C122" s="3116" t="s">
        <v>2760</v>
      </c>
      <c r="D122" s="3090" t="s">
        <v>2761</v>
      </c>
      <c r="E122" s="3116">
        <v>0.1</v>
      </c>
      <c r="F122" s="3116">
        <v>15</v>
      </c>
    </row>
    <row r="123" spans="1:6" ht="26">
      <c r="A123" s="3116">
        <v>51</v>
      </c>
      <c r="B123" s="3797"/>
      <c r="C123" s="3116" t="s">
        <v>2762</v>
      </c>
      <c r="D123" s="3090" t="s">
        <v>2763</v>
      </c>
      <c r="E123" s="3116">
        <v>0.1</v>
      </c>
      <c r="F123" s="3116">
        <v>15</v>
      </c>
    </row>
    <row r="124" spans="1:6" ht="26">
      <c r="A124" s="3116">
        <v>52</v>
      </c>
      <c r="B124" s="3797" t="s">
        <v>2764</v>
      </c>
      <c r="C124" s="3116" t="s">
        <v>2765</v>
      </c>
      <c r="D124" s="3090" t="s">
        <v>2766</v>
      </c>
      <c r="E124" s="3116">
        <v>0.1</v>
      </c>
      <c r="F124" s="3116">
        <v>15</v>
      </c>
    </row>
    <row r="125" spans="1:6" ht="26">
      <c r="A125" s="3116">
        <v>53</v>
      </c>
      <c r="B125" s="3797"/>
      <c r="C125" s="3116" t="s">
        <v>2767</v>
      </c>
      <c r="D125" s="3090" t="s">
        <v>2768</v>
      </c>
      <c r="E125" s="3116">
        <v>0.1</v>
      </c>
      <c r="F125" s="3116">
        <v>15</v>
      </c>
    </row>
    <row r="126" spans="1:6" ht="26">
      <c r="A126" s="3116">
        <v>54</v>
      </c>
      <c r="B126" s="3116" t="s">
        <v>2769</v>
      </c>
      <c r="C126" s="3116" t="s">
        <v>2770</v>
      </c>
      <c r="D126" s="3090" t="s">
        <v>2771</v>
      </c>
      <c r="E126" s="3116">
        <v>0.1</v>
      </c>
      <c r="F126" s="3116">
        <v>15</v>
      </c>
    </row>
    <row r="127" spans="1:6" ht="14">
      <c r="A127" s="3116">
        <v>55</v>
      </c>
      <c r="B127" s="3797" t="s">
        <v>2772</v>
      </c>
      <c r="C127" s="3116" t="s">
        <v>2773</v>
      </c>
      <c r="D127" s="3090" t="s">
        <v>2774</v>
      </c>
      <c r="E127" s="3116">
        <v>0.1</v>
      </c>
      <c r="F127" s="3116">
        <v>15</v>
      </c>
    </row>
    <row r="128" spans="1:6" ht="14">
      <c r="A128" s="3116">
        <v>56</v>
      </c>
      <c r="B128" s="3797"/>
      <c r="C128" s="3116" t="s">
        <v>2775</v>
      </c>
      <c r="D128" s="3090" t="s">
        <v>2776</v>
      </c>
      <c r="E128" s="3116">
        <v>0.1</v>
      </c>
      <c r="F128" s="3116">
        <v>15</v>
      </c>
    </row>
    <row r="129" spans="1:6" ht="26">
      <c r="A129" s="3116">
        <v>57</v>
      </c>
      <c r="B129" s="3797"/>
      <c r="C129" s="3116" t="s">
        <v>2777</v>
      </c>
      <c r="D129" s="3090" t="s">
        <v>2778</v>
      </c>
      <c r="E129" s="3116">
        <v>0.1</v>
      </c>
      <c r="F129" s="3116">
        <v>15</v>
      </c>
    </row>
    <row r="130" spans="1:6" ht="26">
      <c r="A130" s="3116">
        <v>58</v>
      </c>
      <c r="B130" s="3797" t="s">
        <v>2779</v>
      </c>
      <c r="C130" s="3116" t="s">
        <v>2780</v>
      </c>
      <c r="D130" s="3090" t="s">
        <v>2781</v>
      </c>
      <c r="E130" s="3116">
        <v>0.1</v>
      </c>
      <c r="F130" s="3116">
        <v>15</v>
      </c>
    </row>
    <row r="131" spans="1:6" ht="26">
      <c r="A131" s="3116">
        <v>59</v>
      </c>
      <c r="B131" s="3797"/>
      <c r="C131" s="3116" t="s">
        <v>2782</v>
      </c>
      <c r="D131" s="3090" t="s">
        <v>2783</v>
      </c>
      <c r="E131" s="3116">
        <v>0.1</v>
      </c>
      <c r="F131" s="3116">
        <v>15</v>
      </c>
    </row>
    <row r="132" spans="1:6" ht="26">
      <c r="A132" s="3116">
        <v>60</v>
      </c>
      <c r="B132" s="3792" t="s">
        <v>2784</v>
      </c>
      <c r="C132" s="3116" t="s">
        <v>2785</v>
      </c>
      <c r="D132" s="3090" t="s">
        <v>2786</v>
      </c>
      <c r="E132" s="3116">
        <v>0.1</v>
      </c>
      <c r="F132" s="3116">
        <v>15</v>
      </c>
    </row>
    <row r="133" spans="1:6" ht="26">
      <c r="A133" s="3116">
        <v>61</v>
      </c>
      <c r="B133" s="3796"/>
      <c r="C133" s="3116" t="s">
        <v>2787</v>
      </c>
      <c r="D133" s="3090" t="s">
        <v>2788</v>
      </c>
      <c r="E133" s="3116">
        <v>0.1</v>
      </c>
      <c r="F133" s="3116">
        <v>15</v>
      </c>
    </row>
    <row r="134" spans="1:6" ht="26">
      <c r="A134" s="3116">
        <v>62</v>
      </c>
      <c r="B134" s="3116" t="s">
        <v>2789</v>
      </c>
      <c r="C134" s="3116" t="s">
        <v>2790</v>
      </c>
      <c r="D134" s="3090" t="s">
        <v>2791</v>
      </c>
      <c r="E134" s="3116">
        <v>0.1</v>
      </c>
      <c r="F134" s="3116">
        <v>15</v>
      </c>
    </row>
    <row r="135" spans="1:6" ht="26">
      <c r="A135" s="3116">
        <v>63</v>
      </c>
      <c r="B135" s="3797" t="s">
        <v>2792</v>
      </c>
      <c r="C135" s="3116" t="s">
        <v>2793</v>
      </c>
      <c r="D135" s="3090" t="s">
        <v>2794</v>
      </c>
      <c r="E135" s="3116">
        <v>0.1</v>
      </c>
      <c r="F135" s="3116">
        <v>15</v>
      </c>
    </row>
    <row r="136" spans="1:6" ht="14">
      <c r="A136" s="3116">
        <v>64</v>
      </c>
      <c r="B136" s="3797"/>
      <c r="C136" s="3116" t="s">
        <v>2795</v>
      </c>
      <c r="D136" s="3090" t="s">
        <v>2796</v>
      </c>
      <c r="E136" s="3116">
        <v>0.1</v>
      </c>
      <c r="F136" s="3116">
        <v>15</v>
      </c>
    </row>
    <row r="137" spans="1:6" ht="26">
      <c r="A137" s="3116">
        <v>65</v>
      </c>
      <c r="B137" s="3116" t="s">
        <v>2797</v>
      </c>
      <c r="C137" s="3116" t="s">
        <v>2798</v>
      </c>
      <c r="D137" s="3090" t="s">
        <v>2799</v>
      </c>
      <c r="E137" s="3116">
        <v>0.1</v>
      </c>
      <c r="F137" s="3116">
        <v>15</v>
      </c>
    </row>
    <row r="138" spans="1:6" ht="14">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
  <cols>
    <col min="1" max="13" width="9" style="3139"/>
    <col min="14" max="16384" width="9" style="750"/>
  </cols>
  <sheetData>
    <row r="1" spans="1:20" ht="15.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1.0347999999999999</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0.98009999999999997</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492" customWidth="1"/>
    <col min="2" max="2" width="37.26953125" style="1492" customWidth="1"/>
    <col min="3" max="3" width="11.36328125" style="1492" customWidth="1"/>
    <col min="4" max="4" width="31.7265625" style="1492" customWidth="1"/>
    <col min="5" max="5" width="0.453125" style="1492" customWidth="1"/>
    <col min="6" max="7" width="13" style="1492" customWidth="1"/>
    <col min="8" max="16384" width="9" style="1492"/>
  </cols>
  <sheetData>
    <row r="1" spans="1:5" ht="18">
      <c r="A1" s="1490" t="s">
        <v>908</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估价结果一览表（市场价值不需“结果表-1”）</v>
      </c>
      <c r="B3" s="3480"/>
      <c r="C3" s="3480"/>
      <c r="D3" s="3480"/>
      <c r="E3" s="3480"/>
    </row>
    <row r="4" spans="1:5" ht="18.5" thickBot="1">
      <c r="A4" s="1493"/>
      <c r="B4" s="3478" t="s">
        <v>917</v>
      </c>
      <c r="C4" s="3478"/>
      <c r="D4" s="3478"/>
      <c r="E4" s="1493"/>
    </row>
    <row r="5" spans="1:5" ht="16" thickTop="1">
      <c r="A5" s="1491"/>
      <c r="B5" s="3476" t="s">
        <v>909</v>
      </c>
      <c r="C5" s="1494" t="s">
        <v>910</v>
      </c>
      <c r="D5" s="850" t="e">
        <f ca="1">结果表!H101</f>
        <v>#REF!</v>
      </c>
      <c r="E5" s="1491"/>
    </row>
    <row r="6" spans="1:5" ht="15.5">
      <c r="A6" s="1491"/>
      <c r="B6" s="3476"/>
      <c r="C6" s="1494" t="s">
        <v>911</v>
      </c>
      <c r="D6" s="850" t="e">
        <f ca="1">NUMBERSTRING(INT(D5*10000),2)&amp;"元整"</f>
        <v>#REF!</v>
      </c>
      <c r="E6" s="1491"/>
    </row>
    <row r="7" spans="1:5" ht="15.5">
      <c r="A7" s="1491"/>
      <c r="B7" s="3481"/>
      <c r="C7" s="1495" t="s">
        <v>912</v>
      </c>
      <c r="D7" s="851" t="e">
        <f ca="1">结果表!H102</f>
        <v>#REF!</v>
      </c>
      <c r="E7" s="1491"/>
    </row>
    <row r="8" spans="1:5" ht="15.5">
      <c r="A8" s="1491"/>
      <c r="B8" s="3482" t="str">
        <f>结果表!E103</f>
        <v>2.估价师知悉的法定优先受偿款</v>
      </c>
      <c r="C8" s="1496" t="s">
        <v>913</v>
      </c>
      <c r="D8" s="851">
        <f>结果表!H103</f>
        <v>0</v>
      </c>
      <c r="E8" s="1491"/>
    </row>
    <row r="9" spans="1:5" ht="15.5">
      <c r="A9" s="1491"/>
      <c r="B9" s="3484"/>
      <c r="C9" s="1494" t="s">
        <v>911</v>
      </c>
      <c r="D9" s="850" t="str">
        <f>NUMBERSTRING(INT(D8*10000),2)&amp;"元整"</f>
        <v>零元整</v>
      </c>
      <c r="E9" s="1491"/>
    </row>
    <row r="10" spans="1:5" ht="16">
      <c r="A10" s="1491"/>
      <c r="B10" s="1497" t="s">
        <v>916</v>
      </c>
      <c r="C10" s="1498" t="s">
        <v>914</v>
      </c>
      <c r="D10" s="852">
        <f>结果表!H104</f>
        <v>0</v>
      </c>
      <c r="E10" s="1491"/>
    </row>
    <row r="11" spans="1:5" ht="16">
      <c r="A11" s="1491"/>
      <c r="B11" s="1497" t="s">
        <v>918</v>
      </c>
      <c r="C11" s="1498" t="s">
        <v>919</v>
      </c>
      <c r="D11" s="852">
        <f>结果表!H105</f>
        <v>0</v>
      </c>
      <c r="E11" s="1491"/>
    </row>
    <row r="12" spans="1:5" ht="16">
      <c r="A12" s="1491"/>
      <c r="B12" s="1497" t="s">
        <v>920</v>
      </c>
      <c r="C12" s="1498" t="s">
        <v>919</v>
      </c>
      <c r="D12" s="852">
        <f>结果表!H106</f>
        <v>0</v>
      </c>
      <c r="E12" s="1491"/>
    </row>
    <row r="13" spans="1:5" ht="15.5">
      <c r="A13" s="1491"/>
      <c r="B13" s="3475" t="str">
        <f>结果表!E107</f>
        <v>3.房地产抵押价值</v>
      </c>
      <c r="C13" s="1499" t="s">
        <v>910</v>
      </c>
      <c r="D13" s="853" t="e">
        <f ca="1">结果表!H107</f>
        <v>#REF!</v>
      </c>
      <c r="E13" s="1491"/>
    </row>
    <row r="14" spans="1:5" ht="15.5">
      <c r="A14" s="1491"/>
      <c r="B14" s="3476"/>
      <c r="C14" s="1494" t="s">
        <v>911</v>
      </c>
      <c r="D14" s="850" t="e">
        <f ca="1">NUMBERSTRING(INT(D13*10000),2)&amp;"元整"</f>
        <v>#REF!</v>
      </c>
      <c r="E14" s="1491"/>
    </row>
    <row r="15" spans="1:5" ht="15.5">
      <c r="A15" s="1491"/>
      <c r="B15" s="3481"/>
      <c r="C15" s="1495" t="s">
        <v>921</v>
      </c>
      <c r="D15" s="859" t="e">
        <f ca="1">结果表!H108</f>
        <v>#REF!</v>
      </c>
      <c r="E15" s="1491"/>
    </row>
    <row r="16" spans="1:5" ht="15">
      <c r="A16" s="1491"/>
      <c r="B16" s="3482" t="str">
        <f>结果表!E109</f>
        <v>——</v>
      </c>
      <c r="C16" s="1499" t="s">
        <v>922</v>
      </c>
      <c r="D16" s="1500" t="str">
        <f>结果表!H109</f>
        <v>——</v>
      </c>
      <c r="E16" s="1491"/>
    </row>
    <row r="17" spans="1:5" ht="15.5">
      <c r="A17" s="1491"/>
      <c r="B17" s="3483"/>
      <c r="C17" s="1494" t="s">
        <v>923</v>
      </c>
      <c r="D17" s="850" t="e">
        <f>NUMBERSTRING(INT(D16*10000),2)&amp;"元整"</f>
        <v>#VALUE!</v>
      </c>
      <c r="E17" s="1491"/>
    </row>
    <row r="18" spans="1:5" ht="15.5">
      <c r="A18" s="1491"/>
      <c r="B18" s="3484"/>
      <c r="C18" s="1495" t="s">
        <v>912</v>
      </c>
      <c r="D18" s="859" t="str">
        <f>结果表!H110</f>
        <v>——</v>
      </c>
      <c r="E18" s="1491"/>
    </row>
    <row r="19" spans="1:5" ht="15.5">
      <c r="A19" s="1491"/>
      <c r="B19" s="3475" t="str">
        <f>结果表!E111</f>
        <v>——</v>
      </c>
      <c r="C19" s="1499" t="s">
        <v>910</v>
      </c>
      <c r="D19" s="851" t="str">
        <f>结果表!H111</f>
        <v>——</v>
      </c>
      <c r="E19" s="1491"/>
    </row>
    <row r="20" spans="1:5" ht="15.5">
      <c r="A20" s="1491"/>
      <c r="B20" s="3476"/>
      <c r="C20" s="1494" t="s">
        <v>923</v>
      </c>
      <c r="D20" s="850" t="e">
        <f>NUMBERSTRING(INT(D19*10000),2)&amp;"元整"</f>
        <v>#VALUE!</v>
      </c>
      <c r="E20" s="1491"/>
    </row>
    <row r="21" spans="1:5" ht="16" thickBot="1">
      <c r="A21" s="1491"/>
      <c r="B21" s="3477"/>
      <c r="C21" s="1501" t="s">
        <v>921</v>
      </c>
      <c r="D21" s="860" t="str">
        <f>结果表!H112</f>
        <v>——</v>
      </c>
      <c r="E21" s="1491"/>
    </row>
    <row r="22" spans="1:5" ht="14.5" thickTop="1">
      <c r="A22" s="1491"/>
      <c r="B22" s="1502" t="s">
        <v>924</v>
      </c>
      <c r="C22" s="1491"/>
      <c r="D22" s="1491"/>
      <c r="E22" s="1491"/>
    </row>
    <row r="23" spans="1:5">
      <c r="A23" s="1491"/>
      <c r="B23" s="1491"/>
      <c r="C23" s="1491"/>
      <c r="D23" s="1491"/>
      <c r="E23" s="1491"/>
    </row>
    <row r="24" spans="1:5" ht="1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9" customWidth="1"/>
    <col min="2" max="2" width="29.26953125" style="251" customWidth="1"/>
    <col min="3" max="3" width="12.08984375" style="251" customWidth="1"/>
    <col min="4" max="5" width="11.26953125" style="272" customWidth="1"/>
    <col min="6" max="6" width="9.453125" style="251" customWidth="1"/>
    <col min="7" max="7" width="31.90625" style="251" customWidth="1"/>
    <col min="8" max="254" width="9" style="251" customWidth="1"/>
    <col min="255" max="16384" width="8.36328125" style="251"/>
  </cols>
  <sheetData>
    <row r="1" spans="1:7" s="200" customFormat="1" ht="21">
      <c r="A1" s="196" t="s">
        <v>56</v>
      </c>
      <c r="B1" s="197"/>
      <c r="C1" s="198"/>
      <c r="D1" s="198"/>
      <c r="E1" s="198"/>
      <c r="F1" s="198"/>
      <c r="G1" s="199"/>
    </row>
    <row r="2" spans="1:7" s="200" customFormat="1" ht="18" customHeight="1">
      <c r="A2" s="201" t="s">
        <v>57</v>
      </c>
      <c r="B2" s="202">
        <f ca="1">C52</f>
        <v>31983</v>
      </c>
      <c r="C2" s="2" t="s">
        <v>106</v>
      </c>
      <c r="D2" s="199"/>
      <c r="E2" s="199"/>
      <c r="F2" s="199"/>
      <c r="G2" s="199"/>
    </row>
    <row r="3" spans="1:7" s="200" customFormat="1" ht="18" customHeight="1" thickBot="1">
      <c r="A3" s="203" t="s">
        <v>58</v>
      </c>
      <c r="B3" s="204">
        <f ca="1">ROUND(B2*10000/'数据-汇总表'!E3,0)</f>
        <v>2249314</v>
      </c>
      <c r="C3" s="2" t="s">
        <v>107</v>
      </c>
      <c r="D3" s="199"/>
      <c r="E3" s="199"/>
      <c r="F3" s="199"/>
      <c r="G3" s="199"/>
    </row>
    <row r="4" spans="1:7" s="208" customFormat="1" ht="16">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ht="13">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142.19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142.19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6">
      <c r="A25" s="780" t="s">
        <v>348</v>
      </c>
      <c r="B25" s="215" t="s">
        <v>420</v>
      </c>
      <c r="C25" s="1105">
        <f ca="1">ROUND(IF('数据-取费表'!B22&lt;=1,C20*F22*'数据-取费表'!B23/2,C20*(POWER((1+F22),'数据-取费表'!B23/2)-1)),0)</f>
        <v>20</v>
      </c>
      <c r="D25" s="238"/>
      <c r="E25" s="241"/>
      <c r="F25" s="239"/>
      <c r="G25" s="242" t="s">
        <v>83</v>
      </c>
    </row>
    <row r="26" spans="1:7" s="214" customFormat="1" ht="13">
      <c r="A26" s="780" t="s">
        <v>350</v>
      </c>
      <c r="B26" s="215" t="s">
        <v>422</v>
      </c>
      <c r="C26" s="238">
        <f ca="1">ROUND(IF('数据-取费表'!B22&lt;=1,F21*F22*'数据-取费表'!B23/2,F21*(POWER((1+F22),'数据-取费表'!B23/2)-1)),4)</f>
        <v>1E-3</v>
      </c>
      <c r="D26" s="238"/>
      <c r="E26" s="241"/>
      <c r="F26" s="239"/>
      <c r="G26" s="243"/>
    </row>
    <row r="27" spans="1:7" s="214" customFormat="1" ht="27">
      <c r="A27" s="777" t="s">
        <v>342</v>
      </c>
      <c r="B27" s="244" t="s">
        <v>85</v>
      </c>
      <c r="C27" s="245">
        <f>C28</f>
        <v>6308</v>
      </c>
      <c r="D27" s="235">
        <f>C29</f>
        <v>6.0000000000000001E-3</v>
      </c>
      <c r="E27" s="236" t="s">
        <v>99</v>
      </c>
      <c r="F27" s="246">
        <f>'数据-取费表'!Q16</f>
        <v>0.3</v>
      </c>
      <c r="G27" s="247" t="s">
        <v>431</v>
      </c>
    </row>
    <row r="28" spans="1:7" s="214" customFormat="1" ht="13.5" customHeight="1">
      <c r="A28" s="780" t="s">
        <v>349</v>
      </c>
      <c r="B28" s="248" t="s">
        <v>424</v>
      </c>
      <c r="C28" s="249">
        <f>ROUND((C5+C19+C20)*F27*'数据-取费表'!B21/'数据-取费表'!B20,0)</f>
        <v>6308</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31921</v>
      </c>
      <c r="D31" s="230"/>
      <c r="E31" s="211"/>
      <c r="F31" s="250"/>
      <c r="G31" s="234" t="s">
        <v>432</v>
      </c>
    </row>
    <row r="32" spans="1:7" s="208" customFormat="1" ht="16">
      <c r="A32" s="252" t="s">
        <v>87</v>
      </c>
      <c r="B32" s="253"/>
      <c r="C32" s="253"/>
      <c r="D32" s="253"/>
      <c r="E32" s="253"/>
      <c r="F32" s="253"/>
      <c r="G32" s="254"/>
    </row>
    <row r="33" spans="1:7" s="214" customFormat="1" ht="13.5" customHeight="1">
      <c r="A33" s="255" t="s">
        <v>337</v>
      </c>
      <c r="B33" s="210" t="s">
        <v>88</v>
      </c>
      <c r="C33" s="256">
        <f>SUM(C34:C38)</f>
        <v>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6">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0.05</v>
      </c>
      <c r="G36" s="260" t="s">
        <v>35</v>
      </c>
    </row>
    <row r="37" spans="1:7" s="258" customFormat="1" ht="13.5" customHeight="1">
      <c r="A37" s="780" t="s">
        <v>353</v>
      </c>
      <c r="B37" s="215" t="s">
        <v>91</v>
      </c>
      <c r="C37" s="249">
        <f>ROUND(E37*D37*F34/10000,0)</f>
        <v>3</v>
      </c>
      <c r="D37" s="217">
        <f>'数据-汇总表'!E3</f>
        <v>142.19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7" t="s">
        <v>94</v>
      </c>
    </row>
    <row r="43" spans="1:7" ht="13.5" customHeight="1">
      <c r="A43" s="780" t="s">
        <v>347</v>
      </c>
      <c r="B43" s="215" t="s">
        <v>426</v>
      </c>
      <c r="C43" s="238">
        <f ca="1">ROUND(IF('数据-取费表'!B22&lt;=1,C39*F22*'数据-取费表'!B21/2,C39*(POWER((1+F22),'数据-取费表'!B21/2)-1)),0)</f>
        <v>0</v>
      </c>
      <c r="D43" s="238"/>
      <c r="E43" s="238"/>
      <c r="F43" s="239"/>
      <c r="G43" s="3658"/>
    </row>
    <row r="44" spans="1:7" ht="13.5" customHeight="1">
      <c r="A44" s="780" t="s">
        <v>348</v>
      </c>
      <c r="B44" s="215" t="s">
        <v>428</v>
      </c>
      <c r="C44" s="238">
        <f ca="1">ROUND(IF('数据-取费表'!B22&lt;=1,C40*F22*'数据-取费表'!B21/2,C40*(POWER((1+F22),'数据-取费表'!B21/2)-1)),4)</f>
        <v>1E-3</v>
      </c>
      <c r="D44" s="238"/>
      <c r="E44" s="238"/>
      <c r="F44" s="239"/>
      <c r="G44" s="3659"/>
    </row>
    <row r="45" spans="1:7" s="214" customFormat="1" ht="13.5" customHeight="1">
      <c r="A45" s="777" t="s">
        <v>341</v>
      </c>
      <c r="B45" s="244" t="s">
        <v>85</v>
      </c>
      <c r="C45" s="245">
        <f>C46</f>
        <v>20</v>
      </c>
      <c r="D45" s="235">
        <f>C47</f>
        <v>6.0000000000000001E-3</v>
      </c>
      <c r="E45" s="236" t="s">
        <v>102</v>
      </c>
      <c r="F45" s="246"/>
      <c r="G45" s="247" t="s">
        <v>434</v>
      </c>
    </row>
    <row r="46" spans="1:7" s="214" customFormat="1" ht="13.5" customHeight="1">
      <c r="A46" s="780" t="s">
        <v>349</v>
      </c>
      <c r="B46" s="248" t="s">
        <v>427</v>
      </c>
      <c r="C46" s="249">
        <f>ROUND((C33+C39)*F27,0)</f>
        <v>20</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98</v>
      </c>
      <c r="D49" s="232"/>
      <c r="E49" s="232"/>
      <c r="F49" s="264"/>
      <c r="G49" s="234" t="s">
        <v>435</v>
      </c>
    </row>
    <row r="50" spans="1:7" s="258" customFormat="1" ht="26">
      <c r="A50" s="777" t="s">
        <v>344</v>
      </c>
      <c r="B50" s="210" t="s">
        <v>97</v>
      </c>
      <c r="C50" s="232"/>
      <c r="D50" s="232"/>
      <c r="E50" s="232"/>
      <c r="F50" s="264">
        <f>IF('数据-取费表'!B24=0,'数据-取费表'!N16,1)</f>
        <v>0.63500000000000001</v>
      </c>
      <c r="G50" s="247" t="s">
        <v>98</v>
      </c>
    </row>
    <row r="51" spans="1:7" ht="16.5" customHeight="1">
      <c r="A51" s="777" t="s">
        <v>345</v>
      </c>
      <c r="B51" s="210" t="s">
        <v>105</v>
      </c>
      <c r="C51" s="232">
        <f ca="1">ROUND(C49*F50,0)</f>
        <v>62</v>
      </c>
      <c r="D51" s="232"/>
      <c r="E51" s="232"/>
      <c r="F51" s="264"/>
      <c r="G51" s="234" t="s">
        <v>37</v>
      </c>
    </row>
    <row r="52" spans="1:7" s="208" customFormat="1" ht="16.5" thickBot="1">
      <c r="A52" s="265" t="s">
        <v>38</v>
      </c>
      <c r="B52" s="266"/>
      <c r="C52" s="267">
        <f ca="1">C31+C51</f>
        <v>31983</v>
      </c>
      <c r="D52" s="266"/>
      <c r="E52" s="266"/>
      <c r="F52" s="266"/>
      <c r="G52" s="268"/>
    </row>
    <row r="55" spans="1:7" ht="15.5">
      <c r="B55" s="270" t="s">
        <v>39</v>
      </c>
      <c r="C55" s="271"/>
    </row>
    <row r="56" spans="1:7" ht="13">
      <c r="B56" s="273" t="s">
        <v>40</v>
      </c>
      <c r="C56" s="274">
        <f ca="1">ROUND(C51/C52,3)</f>
        <v>2E-3</v>
      </c>
    </row>
    <row r="57" spans="1:7" ht="13">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90625" defaultRowHeight="12"/>
  <cols>
    <col min="1" max="1" width="9.6328125" style="3224" customWidth="1"/>
    <col min="2" max="2" width="18.6328125" style="3224" customWidth="1"/>
    <col min="3" max="6" width="10.26953125" style="3224" customWidth="1"/>
    <col min="7" max="7" width="10.453125" style="3224" bestFit="1" customWidth="1"/>
    <col min="8" max="8" width="8.90625" style="3220"/>
    <col min="9" max="9" width="13.36328125" style="3220" customWidth="1"/>
    <col min="10" max="13" width="13.36328125" style="3224" customWidth="1"/>
    <col min="14" max="14" width="18.26953125" style="3224" customWidth="1"/>
    <col min="15" max="17" width="15.08984375" style="3224" customWidth="1"/>
    <col min="18" max="20" width="11.453125" style="3224" customWidth="1"/>
    <col min="21" max="16384" width="8.90625" style="3224"/>
  </cols>
  <sheetData>
    <row r="1" spans="1:20" ht="12.5" thickBot="1">
      <c r="A1" s="3800" t="s">
        <v>2844</v>
      </c>
      <c r="B1" s="3800"/>
      <c r="C1" s="3800"/>
      <c r="D1" s="3800"/>
      <c r="E1" s="3800"/>
      <c r="F1" s="3800"/>
      <c r="G1" s="3801"/>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5"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98"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5" thickBot="1">
      <c r="A4" s="3799"/>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5"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5"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5"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5"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5"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5"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12.6328125" style="3287" customWidth="1"/>
    <col min="2" max="2" width="20" style="3287" customWidth="1"/>
    <col min="3" max="7" width="8.90625" style="3251"/>
    <col min="8" max="16384" width="8.90625" style="3252"/>
  </cols>
  <sheetData>
    <row r="1" spans="1:7">
      <c r="A1" s="3802" t="s">
        <v>3186</v>
      </c>
      <c r="B1" s="3802"/>
    </row>
    <row r="2" spans="1:7" ht="14.5" thickBot="1">
      <c r="A2" s="3253"/>
      <c r="B2" s="3253"/>
    </row>
    <row r="3" spans="1:7" ht="14.5" thickBot="1">
      <c r="A3" s="3253"/>
      <c r="B3" s="3253"/>
      <c r="C3" s="3254" t="s">
        <v>2814</v>
      </c>
      <c r="D3" s="3254" t="s">
        <v>2872</v>
      </c>
      <c r="E3" s="3254" t="s">
        <v>2816</v>
      </c>
      <c r="F3" s="3254" t="s">
        <v>2873</v>
      </c>
      <c r="G3" s="3254" t="s">
        <v>2634</v>
      </c>
    </row>
    <row r="4" spans="1:7" ht="14.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6953125" defaultRowHeight="14"/>
  <cols>
    <col min="1" max="16384" width="13.26953125" style="3288"/>
  </cols>
  <sheetData>
    <row r="1" spans="1:6">
      <c r="A1" s="3803" t="s">
        <v>3237</v>
      </c>
      <c r="B1" s="3803"/>
      <c r="C1" s="3803"/>
      <c r="D1" s="3803"/>
      <c r="E1" s="3803"/>
      <c r="F1" s="3804"/>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R45" sqref="R45"/>
    </sheetView>
  </sheetViews>
  <sheetFormatPr defaultRowHeight="14"/>
  <cols>
    <col min="1" max="1" width="13.90625" customWidth="1"/>
    <col min="11" max="17" width="0" hidden="1" customWidth="1"/>
    <col min="25" max="30" width="0" hidden="1" customWidth="1"/>
  </cols>
  <sheetData>
    <row r="1" spans="1:30">
      <c r="A1" s="3219">
        <f>基准地价修正!G23</f>
        <v>45072</v>
      </c>
      <c r="B1" s="3208" t="s">
        <v>2843</v>
      </c>
      <c r="C1" s="3209"/>
      <c r="D1" s="3209"/>
      <c r="E1" s="3209"/>
      <c r="F1" s="3209"/>
      <c r="G1" s="3209"/>
      <c r="H1" s="3209"/>
      <c r="I1" s="3209"/>
      <c r="J1" s="3163"/>
      <c r="K1" s="3209" t="s">
        <v>454</v>
      </c>
      <c r="L1" s="3209"/>
      <c r="M1" s="3209"/>
      <c r="N1" s="3209"/>
      <c r="O1" s="3209"/>
      <c r="P1" s="3209"/>
      <c r="Q1" s="3163"/>
      <c r="R1" s="3805" t="s">
        <v>456</v>
      </c>
      <c r="S1" s="3806"/>
      <c r="T1" s="3806"/>
      <c r="U1" s="3806"/>
      <c r="V1" s="3806"/>
      <c r="W1" s="3806"/>
      <c r="X1" s="3163"/>
      <c r="Y1" s="3805" t="s">
        <v>457</v>
      </c>
      <c r="Z1" s="3806"/>
      <c r="AA1" s="3806"/>
      <c r="AB1" s="3806"/>
      <c r="AC1" s="3806"/>
      <c r="AD1" s="3806"/>
    </row>
    <row r="2" spans="1:30" s="3141" customFormat="1" ht="14.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3">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3">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3">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3">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3">
      <c r="A8" s="3184" t="s">
        <v>3376</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3">
      <c r="A9" s="3174" t="s">
        <v>3377</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3">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3">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3">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3">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3">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3">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ht="13.5"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5" thickTop="1"/>
    <row r="18" spans="1:30" s="3007" customFormat="1">
      <c r="A18" s="3446" t="s">
        <v>3371</v>
      </c>
    </row>
    <row r="19" spans="1:30" s="3007" customFormat="1">
      <c r="I19" s="3206" t="s">
        <v>2828</v>
      </c>
    </row>
    <row r="20" spans="1:30" s="3007" customFormat="1"/>
    <row r="21" spans="1:30" s="3207" customFormat="1" ht="13">
      <c r="B21" s="3208" t="s">
        <v>2829</v>
      </c>
      <c r="C21" s="3209"/>
      <c r="D21" s="3209"/>
      <c r="E21" s="3209"/>
      <c r="F21" s="3209"/>
      <c r="G21" s="3209"/>
      <c r="H21" s="3209"/>
      <c r="I21" s="3209"/>
      <c r="J21" s="3163"/>
      <c r="K21" s="3209" t="s">
        <v>2830</v>
      </c>
      <c r="L21" s="3209"/>
      <c r="M21" s="3209"/>
      <c r="N21" s="3209"/>
      <c r="O21" s="3209"/>
      <c r="P21" s="3209"/>
      <c r="Q21" s="3163"/>
      <c r="R21" s="3805" t="s">
        <v>2831</v>
      </c>
      <c r="S21" s="3806"/>
      <c r="T21" s="3806"/>
      <c r="U21" s="3806"/>
      <c r="V21" s="3806"/>
      <c r="W21" s="3806"/>
      <c r="X21" s="3163"/>
      <c r="Y21" s="3805" t="s">
        <v>2832</v>
      </c>
      <c r="Z21" s="3806"/>
      <c r="AA21" s="3806"/>
      <c r="AB21" s="3806"/>
      <c r="AC21" s="3806"/>
      <c r="AD21" s="3806"/>
    </row>
    <row r="22" spans="1:30" s="3141" customFormat="1" ht="14.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3">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3">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3">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3">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3">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3">
      <c r="A28" s="3184" t="s">
        <v>3376</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3">
      <c r="A29" s="3174" t="s">
        <v>3377</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3">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3">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3">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3">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3">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3">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ht="13.5"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5"/>
  <cols>
    <col min="1" max="1" width="9" style="2190"/>
    <col min="2" max="6" width="9" style="2190" customWidth="1"/>
    <col min="7" max="7" width="9" style="2228"/>
    <col min="8" max="8" width="9" style="2190"/>
    <col min="9" max="12" width="9" style="2190" customWidth="1"/>
    <col min="13" max="13" width="2.26953125" style="2190" customWidth="1"/>
    <col min="14" max="14" width="9" style="2228" customWidth="1"/>
    <col min="15" max="17" width="9" style="2190" customWidth="1"/>
    <col min="18" max="18" width="2.36328125" style="2190" customWidth="1"/>
    <col min="19" max="19" width="7.08984375" style="2228" customWidth="1"/>
    <col min="20" max="22" width="7.08984375" style="2190" customWidth="1"/>
    <col min="23" max="23" width="24.26953125" style="2190" customWidth="1"/>
    <col min="24" max="25" width="9" style="2190"/>
    <col min="26" max="27" width="11.6328125" style="2190" customWidth="1"/>
    <col min="28" max="28" width="9" style="2190"/>
    <col min="29" max="29" width="2" style="2190" customWidth="1"/>
    <col min="30" max="16384" width="9" style="2190"/>
  </cols>
  <sheetData>
    <row r="1" spans="1:34" s="2169" customFormat="1" ht="13">
      <c r="B1" s="3812" t="s">
        <v>452</v>
      </c>
      <c r="C1" s="3812"/>
      <c r="D1" s="3812"/>
      <c r="E1" s="3812"/>
      <c r="F1" s="3812"/>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0" customFormat="1" ht="14.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ht="13">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ht="13">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ht="13">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ht="13">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ht="13">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ht="13">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ht="13">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ht="13">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ht="13">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ht="13">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ht="13">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ht="13">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ht="13">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ht="13">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ht="13">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ht="13">
      <c r="A25" s="2203" t="s">
        <v>2111</v>
      </c>
      <c r="B25" s="2218">
        <v>439</v>
      </c>
      <c r="C25" s="2218">
        <v>327</v>
      </c>
      <c r="D25" s="2218">
        <f>C25</f>
        <v>327</v>
      </c>
      <c r="E25" s="2218">
        <v>627</v>
      </c>
      <c r="F25" s="2219">
        <v>283</v>
      </c>
      <c r="G25" s="381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ht="13">
      <c r="A29" s="2203" t="s">
        <v>127</v>
      </c>
      <c r="B29" s="2218">
        <v>392</v>
      </c>
      <c r="C29" s="2218">
        <v>302</v>
      </c>
      <c r="D29" s="2218">
        <f>C29</f>
        <v>302</v>
      </c>
      <c r="E29" s="2218">
        <v>553</v>
      </c>
      <c r="F29" s="2219">
        <v>266</v>
      </c>
      <c r="G29" s="381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ht="13">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 thickBot="1">
      <c r="A48" s="2203" t="s">
        <v>472</v>
      </c>
      <c r="B48" s="2204">
        <f>B47/(1+N47)</f>
        <v>275.19025476197027</v>
      </c>
      <c r="C48" s="2255">
        <v>232</v>
      </c>
      <c r="D48" s="2255">
        <f t="shared" si="246"/>
        <v>232</v>
      </c>
      <c r="E48" s="2204">
        <f t="shared" si="257"/>
        <v>375.65990977608692</v>
      </c>
      <c r="F48" s="2204">
        <f t="shared" si="257"/>
        <v>214.12518283971252</v>
      </c>
      <c r="G48" s="381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0">
        <v>2003</v>
      </c>
      <c r="H83" s="2216">
        <v>2</v>
      </c>
      <c r="I83" s="2275"/>
      <c r="J83" s="2275"/>
      <c r="K83" s="2275"/>
      <c r="L83" s="2275"/>
      <c r="X83" s="2267"/>
      <c r="Y83" s="2267"/>
      <c r="Z83" s="2267"/>
    </row>
    <row r="84" spans="1:26" ht="13" thickBot="1">
      <c r="A84" s="2203" t="s">
        <v>508</v>
      </c>
      <c r="B84" s="2277">
        <f t="shared" si="282"/>
        <v>107.25</v>
      </c>
      <c r="C84" s="2277">
        <f t="shared" si="282"/>
        <v>108.75</v>
      </c>
      <c r="D84" s="2277">
        <f t="shared" si="246"/>
        <v>108.75</v>
      </c>
      <c r="E84" s="2277">
        <f t="shared" si="283"/>
        <v>105.75</v>
      </c>
      <c r="F84" s="2277">
        <f t="shared" si="283"/>
        <v>102.5</v>
      </c>
      <c r="G84" s="381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0">
        <v>2002</v>
      </c>
      <c r="H87" s="2216">
        <v>2</v>
      </c>
      <c r="I87" s="2275"/>
      <c r="J87" s="2275"/>
      <c r="K87" s="2275"/>
      <c r="L87" s="2275"/>
      <c r="X87" s="2267"/>
      <c r="Y87" s="2267"/>
      <c r="Z87" s="2267"/>
    </row>
    <row r="88" spans="1:26" s="2240" customFormat="1" ht="13" thickBot="1">
      <c r="A88" s="2236" t="s">
        <v>512</v>
      </c>
      <c r="B88" s="2243">
        <f t="shared" si="284"/>
        <v>103</v>
      </c>
      <c r="C88" s="2243">
        <f t="shared" si="284"/>
        <v>104</v>
      </c>
      <c r="D88" s="2243">
        <f t="shared" si="246"/>
        <v>104</v>
      </c>
      <c r="E88" s="2243">
        <f t="shared" si="285"/>
        <v>103.5</v>
      </c>
      <c r="F88" s="2243">
        <f t="shared" si="285"/>
        <v>100.5</v>
      </c>
      <c r="G88" s="381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ht="13">
      <c r="A91" s="2288" t="s">
        <v>513</v>
      </c>
      <c r="G91" s="2290"/>
      <c r="N91" s="2290"/>
      <c r="S91" s="2290"/>
    </row>
    <row r="92" spans="1:26" s="2289" customFormat="1" ht="13">
      <c r="A92" s="2289" t="s">
        <v>514</v>
      </c>
      <c r="G92" s="2290"/>
      <c r="N92" s="2290"/>
      <c r="S92" s="2290"/>
    </row>
    <row r="93" spans="1:26" s="2289" customFormat="1" ht="13">
      <c r="A93" s="2289" t="s">
        <v>515</v>
      </c>
      <c r="G93" s="2290"/>
      <c r="I93" s="2291"/>
      <c r="J93" s="2291"/>
      <c r="K93" s="2291"/>
      <c r="L93" s="2291"/>
      <c r="N93" s="2292"/>
      <c r="O93" s="2291"/>
      <c r="P93" s="2291"/>
      <c r="Q93" s="2291"/>
      <c r="S93" s="2292"/>
      <c r="T93" s="2291"/>
      <c r="U93" s="2291"/>
      <c r="V93" s="2291"/>
    </row>
    <row r="94" spans="1:26" s="2289" customFormat="1" ht="13">
      <c r="A94" s="2289" t="s">
        <v>516</v>
      </c>
      <c r="G94" s="2290"/>
      <c r="N94" s="2290"/>
      <c r="S94" s="2290"/>
    </row>
    <row r="101" spans="7:22" ht="13" thickBot="1"/>
    <row r="102" spans="7:22" ht="13">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
  <cols>
    <col min="1" max="1" width="4.90625" style="1242" customWidth="1"/>
    <col min="2" max="2" width="13.26953125" style="1248" customWidth="1"/>
    <col min="3" max="3" width="15.6328125" style="1248" customWidth="1"/>
    <col min="4" max="4" width="9.36328125" style="1248" bestFit="1" customWidth="1"/>
    <col min="5" max="5" width="13.453125" style="1248" customWidth="1"/>
    <col min="6" max="6" width="9" style="1248"/>
    <col min="7" max="7" width="9.36328125" style="1248" bestFit="1" customWidth="1"/>
    <col min="8" max="8" width="12.26953125" style="1248" customWidth="1"/>
    <col min="9" max="9" width="9" style="1248"/>
    <col min="10" max="10" width="9.36328125" style="1248" bestFit="1" customWidth="1"/>
    <col min="11" max="11" width="4" style="1242" customWidth="1"/>
    <col min="12" max="12" width="5.08984375" style="1248" customWidth="1"/>
    <col min="13" max="13" width="13.7265625" style="1248" customWidth="1"/>
    <col min="14" max="256" width="9" style="1248"/>
    <col min="257" max="257" width="4.90625" style="1239" customWidth="1"/>
    <col min="258" max="258" width="13.26953125" style="1239" customWidth="1"/>
    <col min="259" max="259" width="15.6328125" style="1239" customWidth="1"/>
    <col min="260" max="260" width="9.36328125" style="1239" bestFit="1" customWidth="1"/>
    <col min="261" max="261" width="13.453125" style="1239" customWidth="1"/>
    <col min="262" max="262" width="9" style="1239"/>
    <col min="263" max="263" width="9.36328125" style="1239" bestFit="1" customWidth="1"/>
    <col min="264" max="265" width="9" style="1239"/>
    <col min="266" max="266" width="9.36328125" style="1239" bestFit="1" customWidth="1"/>
    <col min="267" max="267" width="4" style="1239" customWidth="1"/>
    <col min="268" max="268" width="5.08984375" style="1239" customWidth="1"/>
    <col min="269" max="269" width="13.7265625" style="1239" customWidth="1"/>
    <col min="270" max="512" width="9" style="1239"/>
    <col min="513" max="513" width="4.90625" style="1239" customWidth="1"/>
    <col min="514" max="514" width="13.26953125" style="1239" customWidth="1"/>
    <col min="515" max="515" width="15.6328125" style="1239" customWidth="1"/>
    <col min="516" max="516" width="9.36328125" style="1239" bestFit="1" customWidth="1"/>
    <col min="517" max="517" width="13.453125" style="1239" customWidth="1"/>
    <col min="518" max="518" width="9" style="1239"/>
    <col min="519" max="519" width="9.36328125" style="1239" bestFit="1" customWidth="1"/>
    <col min="520" max="521" width="9" style="1239"/>
    <col min="522" max="522" width="9.36328125" style="1239" bestFit="1" customWidth="1"/>
    <col min="523" max="523" width="4" style="1239" customWidth="1"/>
    <col min="524" max="524" width="5.08984375" style="1239" customWidth="1"/>
    <col min="525" max="525" width="13.7265625" style="1239" customWidth="1"/>
    <col min="526" max="768" width="9" style="1239"/>
    <col min="769" max="769" width="4.90625" style="1239" customWidth="1"/>
    <col min="770" max="770" width="13.26953125" style="1239" customWidth="1"/>
    <col min="771" max="771" width="15.6328125" style="1239" customWidth="1"/>
    <col min="772" max="772" width="9.36328125" style="1239" bestFit="1" customWidth="1"/>
    <col min="773" max="773" width="13.453125" style="1239" customWidth="1"/>
    <col min="774" max="774" width="9" style="1239"/>
    <col min="775" max="775" width="9.36328125" style="1239" bestFit="1" customWidth="1"/>
    <col min="776" max="777" width="9" style="1239"/>
    <col min="778" max="778" width="9.36328125" style="1239" bestFit="1" customWidth="1"/>
    <col min="779" max="779" width="4" style="1239" customWidth="1"/>
    <col min="780" max="780" width="5.08984375" style="1239" customWidth="1"/>
    <col min="781" max="781" width="13.7265625" style="1239" customWidth="1"/>
    <col min="782" max="1024" width="9" style="1239"/>
    <col min="1025" max="1025" width="4.90625" style="1239" customWidth="1"/>
    <col min="1026" max="1026" width="13.26953125" style="1239" customWidth="1"/>
    <col min="1027" max="1027" width="15.6328125" style="1239" customWidth="1"/>
    <col min="1028" max="1028" width="9.36328125" style="1239" bestFit="1" customWidth="1"/>
    <col min="1029" max="1029" width="13.453125" style="1239" customWidth="1"/>
    <col min="1030" max="1030" width="9" style="1239"/>
    <col min="1031" max="1031" width="9.36328125" style="1239" bestFit="1" customWidth="1"/>
    <col min="1032" max="1033" width="9" style="1239"/>
    <col min="1034" max="1034" width="9.36328125" style="1239" bestFit="1" customWidth="1"/>
    <col min="1035" max="1035" width="4" style="1239" customWidth="1"/>
    <col min="1036" max="1036" width="5.08984375" style="1239" customWidth="1"/>
    <col min="1037" max="1037" width="13.7265625" style="1239" customWidth="1"/>
    <col min="1038" max="1280" width="9" style="1239"/>
    <col min="1281" max="1281" width="4.90625" style="1239" customWidth="1"/>
    <col min="1282" max="1282" width="13.26953125" style="1239" customWidth="1"/>
    <col min="1283" max="1283" width="15.6328125" style="1239" customWidth="1"/>
    <col min="1284" max="1284" width="9.36328125" style="1239" bestFit="1" customWidth="1"/>
    <col min="1285" max="1285" width="13.453125" style="1239" customWidth="1"/>
    <col min="1286" max="1286" width="9" style="1239"/>
    <col min="1287" max="1287" width="9.36328125" style="1239" bestFit="1" customWidth="1"/>
    <col min="1288" max="1289" width="9" style="1239"/>
    <col min="1290" max="1290" width="9.36328125" style="1239" bestFit="1" customWidth="1"/>
    <col min="1291" max="1291" width="4" style="1239" customWidth="1"/>
    <col min="1292" max="1292" width="5.08984375" style="1239" customWidth="1"/>
    <col min="1293" max="1293" width="13.7265625" style="1239" customWidth="1"/>
    <col min="1294" max="1536" width="9" style="1239"/>
    <col min="1537" max="1537" width="4.90625" style="1239" customWidth="1"/>
    <col min="1538" max="1538" width="13.26953125" style="1239" customWidth="1"/>
    <col min="1539" max="1539" width="15.6328125" style="1239" customWidth="1"/>
    <col min="1540" max="1540" width="9.36328125" style="1239" bestFit="1" customWidth="1"/>
    <col min="1541" max="1541" width="13.453125" style="1239" customWidth="1"/>
    <col min="1542" max="1542" width="9" style="1239"/>
    <col min="1543" max="1543" width="9.36328125" style="1239" bestFit="1" customWidth="1"/>
    <col min="1544" max="1545" width="9" style="1239"/>
    <col min="1546" max="1546" width="9.36328125" style="1239" bestFit="1" customWidth="1"/>
    <col min="1547" max="1547" width="4" style="1239" customWidth="1"/>
    <col min="1548" max="1548" width="5.08984375" style="1239" customWidth="1"/>
    <col min="1549" max="1549" width="13.7265625" style="1239" customWidth="1"/>
    <col min="1550" max="1792" width="9" style="1239"/>
    <col min="1793" max="1793" width="4.90625" style="1239" customWidth="1"/>
    <col min="1794" max="1794" width="13.26953125" style="1239" customWidth="1"/>
    <col min="1795" max="1795" width="15.6328125" style="1239" customWidth="1"/>
    <col min="1796" max="1796" width="9.36328125" style="1239" bestFit="1" customWidth="1"/>
    <col min="1797" max="1797" width="13.453125" style="1239" customWidth="1"/>
    <col min="1798" max="1798" width="9" style="1239"/>
    <col min="1799" max="1799" width="9.36328125" style="1239" bestFit="1" customWidth="1"/>
    <col min="1800" max="1801" width="9" style="1239"/>
    <col min="1802" max="1802" width="9.36328125" style="1239" bestFit="1" customWidth="1"/>
    <col min="1803" max="1803" width="4" style="1239" customWidth="1"/>
    <col min="1804" max="1804" width="5.08984375" style="1239" customWidth="1"/>
    <col min="1805" max="1805" width="13.7265625" style="1239" customWidth="1"/>
    <col min="1806" max="2048" width="9" style="1239"/>
    <col min="2049" max="2049" width="4.90625" style="1239" customWidth="1"/>
    <col min="2050" max="2050" width="13.26953125" style="1239" customWidth="1"/>
    <col min="2051" max="2051" width="15.6328125" style="1239" customWidth="1"/>
    <col min="2052" max="2052" width="9.36328125" style="1239" bestFit="1" customWidth="1"/>
    <col min="2053" max="2053" width="13.453125" style="1239" customWidth="1"/>
    <col min="2054" max="2054" width="9" style="1239"/>
    <col min="2055" max="2055" width="9.36328125" style="1239" bestFit="1" customWidth="1"/>
    <col min="2056" max="2057" width="9" style="1239"/>
    <col min="2058" max="2058" width="9.36328125" style="1239" bestFit="1" customWidth="1"/>
    <col min="2059" max="2059" width="4" style="1239" customWidth="1"/>
    <col min="2060" max="2060" width="5.08984375" style="1239" customWidth="1"/>
    <col min="2061" max="2061" width="13.7265625" style="1239" customWidth="1"/>
    <col min="2062" max="2304" width="9" style="1239"/>
    <col min="2305" max="2305" width="4.90625" style="1239" customWidth="1"/>
    <col min="2306" max="2306" width="13.26953125" style="1239" customWidth="1"/>
    <col min="2307" max="2307" width="15.6328125" style="1239" customWidth="1"/>
    <col min="2308" max="2308" width="9.36328125" style="1239" bestFit="1" customWidth="1"/>
    <col min="2309" max="2309" width="13.453125" style="1239" customWidth="1"/>
    <col min="2310" max="2310" width="9" style="1239"/>
    <col min="2311" max="2311" width="9.36328125" style="1239" bestFit="1" customWidth="1"/>
    <col min="2312" max="2313" width="9" style="1239"/>
    <col min="2314" max="2314" width="9.36328125" style="1239" bestFit="1" customWidth="1"/>
    <col min="2315" max="2315" width="4" style="1239" customWidth="1"/>
    <col min="2316" max="2316" width="5.08984375" style="1239" customWidth="1"/>
    <col min="2317" max="2317" width="13.7265625" style="1239" customWidth="1"/>
    <col min="2318" max="2560" width="9" style="1239"/>
    <col min="2561" max="2561" width="4.90625" style="1239" customWidth="1"/>
    <col min="2562" max="2562" width="13.26953125" style="1239" customWidth="1"/>
    <col min="2563" max="2563" width="15.6328125" style="1239" customWidth="1"/>
    <col min="2564" max="2564" width="9.36328125" style="1239" bestFit="1" customWidth="1"/>
    <col min="2565" max="2565" width="13.453125" style="1239" customWidth="1"/>
    <col min="2566" max="2566" width="9" style="1239"/>
    <col min="2567" max="2567" width="9.36328125" style="1239" bestFit="1" customWidth="1"/>
    <col min="2568" max="2569" width="9" style="1239"/>
    <col min="2570" max="2570" width="9.36328125" style="1239" bestFit="1" customWidth="1"/>
    <col min="2571" max="2571" width="4" style="1239" customWidth="1"/>
    <col min="2572" max="2572" width="5.08984375" style="1239" customWidth="1"/>
    <col min="2573" max="2573" width="13.7265625" style="1239" customWidth="1"/>
    <col min="2574" max="2816" width="9" style="1239"/>
    <col min="2817" max="2817" width="4.90625" style="1239" customWidth="1"/>
    <col min="2818" max="2818" width="13.26953125" style="1239" customWidth="1"/>
    <col min="2819" max="2819" width="15.6328125" style="1239" customWidth="1"/>
    <col min="2820" max="2820" width="9.36328125" style="1239" bestFit="1" customWidth="1"/>
    <col min="2821" max="2821" width="13.453125" style="1239" customWidth="1"/>
    <col min="2822" max="2822" width="9" style="1239"/>
    <col min="2823" max="2823" width="9.36328125" style="1239" bestFit="1" customWidth="1"/>
    <col min="2824" max="2825" width="9" style="1239"/>
    <col min="2826" max="2826" width="9.36328125" style="1239" bestFit="1" customWidth="1"/>
    <col min="2827" max="2827" width="4" style="1239" customWidth="1"/>
    <col min="2828" max="2828" width="5.08984375" style="1239" customWidth="1"/>
    <col min="2829" max="2829" width="13.7265625" style="1239" customWidth="1"/>
    <col min="2830" max="3072" width="9" style="1239"/>
    <col min="3073" max="3073" width="4.90625" style="1239" customWidth="1"/>
    <col min="3074" max="3074" width="13.26953125" style="1239" customWidth="1"/>
    <col min="3075" max="3075" width="15.6328125" style="1239" customWidth="1"/>
    <col min="3076" max="3076" width="9.36328125" style="1239" bestFit="1" customWidth="1"/>
    <col min="3077" max="3077" width="13.453125" style="1239" customWidth="1"/>
    <col min="3078" max="3078" width="9" style="1239"/>
    <col min="3079" max="3079" width="9.36328125" style="1239" bestFit="1" customWidth="1"/>
    <col min="3080" max="3081" width="9" style="1239"/>
    <col min="3082" max="3082" width="9.36328125" style="1239" bestFit="1" customWidth="1"/>
    <col min="3083" max="3083" width="4" style="1239" customWidth="1"/>
    <col min="3084" max="3084" width="5.08984375" style="1239" customWidth="1"/>
    <col min="3085" max="3085" width="13.7265625" style="1239" customWidth="1"/>
    <col min="3086" max="3328" width="9" style="1239"/>
    <col min="3329" max="3329" width="4.90625" style="1239" customWidth="1"/>
    <col min="3330" max="3330" width="13.26953125" style="1239" customWidth="1"/>
    <col min="3331" max="3331" width="15.6328125" style="1239" customWidth="1"/>
    <col min="3332" max="3332" width="9.36328125" style="1239" bestFit="1" customWidth="1"/>
    <col min="3333" max="3333" width="13.453125" style="1239" customWidth="1"/>
    <col min="3334" max="3334" width="9" style="1239"/>
    <col min="3335" max="3335" width="9.36328125" style="1239" bestFit="1" customWidth="1"/>
    <col min="3336" max="3337" width="9" style="1239"/>
    <col min="3338" max="3338" width="9.36328125" style="1239" bestFit="1" customWidth="1"/>
    <col min="3339" max="3339" width="4" style="1239" customWidth="1"/>
    <col min="3340" max="3340" width="5.08984375" style="1239" customWidth="1"/>
    <col min="3341" max="3341" width="13.7265625" style="1239" customWidth="1"/>
    <col min="3342" max="3584" width="9" style="1239"/>
    <col min="3585" max="3585" width="4.90625" style="1239" customWidth="1"/>
    <col min="3586" max="3586" width="13.26953125" style="1239" customWidth="1"/>
    <col min="3587" max="3587" width="15.6328125" style="1239" customWidth="1"/>
    <col min="3588" max="3588" width="9.36328125" style="1239" bestFit="1" customWidth="1"/>
    <col min="3589" max="3589" width="13.453125" style="1239" customWidth="1"/>
    <col min="3590" max="3590" width="9" style="1239"/>
    <col min="3591" max="3591" width="9.36328125" style="1239" bestFit="1" customWidth="1"/>
    <col min="3592" max="3593" width="9" style="1239"/>
    <col min="3594" max="3594" width="9.36328125" style="1239" bestFit="1" customWidth="1"/>
    <col min="3595" max="3595" width="4" style="1239" customWidth="1"/>
    <col min="3596" max="3596" width="5.08984375" style="1239" customWidth="1"/>
    <col min="3597" max="3597" width="13.7265625" style="1239" customWidth="1"/>
    <col min="3598" max="3840" width="9" style="1239"/>
    <col min="3841" max="3841" width="4.90625" style="1239" customWidth="1"/>
    <col min="3842" max="3842" width="13.26953125" style="1239" customWidth="1"/>
    <col min="3843" max="3843" width="15.6328125" style="1239" customWidth="1"/>
    <col min="3844" max="3844" width="9.36328125" style="1239" bestFit="1" customWidth="1"/>
    <col min="3845" max="3845" width="13.453125" style="1239" customWidth="1"/>
    <col min="3846" max="3846" width="9" style="1239"/>
    <col min="3847" max="3847" width="9.36328125" style="1239" bestFit="1" customWidth="1"/>
    <col min="3848" max="3849" width="9" style="1239"/>
    <col min="3850" max="3850" width="9.36328125" style="1239" bestFit="1" customWidth="1"/>
    <col min="3851" max="3851" width="4" style="1239" customWidth="1"/>
    <col min="3852" max="3852" width="5.08984375" style="1239" customWidth="1"/>
    <col min="3853" max="3853" width="13.7265625" style="1239" customWidth="1"/>
    <col min="3854" max="4096" width="9" style="1239"/>
    <col min="4097" max="4097" width="4.90625" style="1239" customWidth="1"/>
    <col min="4098" max="4098" width="13.26953125" style="1239" customWidth="1"/>
    <col min="4099" max="4099" width="15.6328125" style="1239" customWidth="1"/>
    <col min="4100" max="4100" width="9.36328125" style="1239" bestFit="1" customWidth="1"/>
    <col min="4101" max="4101" width="13.453125" style="1239" customWidth="1"/>
    <col min="4102" max="4102" width="9" style="1239"/>
    <col min="4103" max="4103" width="9.36328125" style="1239" bestFit="1" customWidth="1"/>
    <col min="4104" max="4105" width="9" style="1239"/>
    <col min="4106" max="4106" width="9.36328125" style="1239" bestFit="1" customWidth="1"/>
    <col min="4107" max="4107" width="4" style="1239" customWidth="1"/>
    <col min="4108" max="4108" width="5.08984375" style="1239" customWidth="1"/>
    <col min="4109" max="4109" width="13.7265625" style="1239" customWidth="1"/>
    <col min="4110" max="4352" width="9" style="1239"/>
    <col min="4353" max="4353" width="4.90625" style="1239" customWidth="1"/>
    <col min="4354" max="4354" width="13.26953125" style="1239" customWidth="1"/>
    <col min="4355" max="4355" width="15.6328125" style="1239" customWidth="1"/>
    <col min="4356" max="4356" width="9.36328125" style="1239" bestFit="1" customWidth="1"/>
    <col min="4357" max="4357" width="13.453125" style="1239" customWidth="1"/>
    <col min="4358" max="4358" width="9" style="1239"/>
    <col min="4359" max="4359" width="9.36328125" style="1239" bestFit="1" customWidth="1"/>
    <col min="4360" max="4361" width="9" style="1239"/>
    <col min="4362" max="4362" width="9.36328125" style="1239" bestFit="1" customWidth="1"/>
    <col min="4363" max="4363" width="4" style="1239" customWidth="1"/>
    <col min="4364" max="4364" width="5.08984375" style="1239" customWidth="1"/>
    <col min="4365" max="4365" width="13.7265625" style="1239" customWidth="1"/>
    <col min="4366" max="4608" width="9" style="1239"/>
    <col min="4609" max="4609" width="4.90625" style="1239" customWidth="1"/>
    <col min="4610" max="4610" width="13.26953125" style="1239" customWidth="1"/>
    <col min="4611" max="4611" width="15.6328125" style="1239" customWidth="1"/>
    <col min="4612" max="4612" width="9.36328125" style="1239" bestFit="1" customWidth="1"/>
    <col min="4613" max="4613" width="13.453125" style="1239" customWidth="1"/>
    <col min="4614" max="4614" width="9" style="1239"/>
    <col min="4615" max="4615" width="9.36328125" style="1239" bestFit="1" customWidth="1"/>
    <col min="4616" max="4617" width="9" style="1239"/>
    <col min="4618" max="4618" width="9.36328125" style="1239" bestFit="1" customWidth="1"/>
    <col min="4619" max="4619" width="4" style="1239" customWidth="1"/>
    <col min="4620" max="4620" width="5.08984375" style="1239" customWidth="1"/>
    <col min="4621" max="4621" width="13.7265625" style="1239" customWidth="1"/>
    <col min="4622" max="4864" width="9" style="1239"/>
    <col min="4865" max="4865" width="4.90625" style="1239" customWidth="1"/>
    <col min="4866" max="4866" width="13.26953125" style="1239" customWidth="1"/>
    <col min="4867" max="4867" width="15.6328125" style="1239" customWidth="1"/>
    <col min="4868" max="4868" width="9.36328125" style="1239" bestFit="1" customWidth="1"/>
    <col min="4869" max="4869" width="13.453125" style="1239" customWidth="1"/>
    <col min="4870" max="4870" width="9" style="1239"/>
    <col min="4871" max="4871" width="9.36328125" style="1239" bestFit="1" customWidth="1"/>
    <col min="4872" max="4873" width="9" style="1239"/>
    <col min="4874" max="4874" width="9.36328125" style="1239" bestFit="1" customWidth="1"/>
    <col min="4875" max="4875" width="4" style="1239" customWidth="1"/>
    <col min="4876" max="4876" width="5.08984375" style="1239" customWidth="1"/>
    <col min="4877" max="4877" width="13.7265625" style="1239" customWidth="1"/>
    <col min="4878" max="5120" width="9" style="1239"/>
    <col min="5121" max="5121" width="4.90625" style="1239" customWidth="1"/>
    <col min="5122" max="5122" width="13.26953125" style="1239" customWidth="1"/>
    <col min="5123" max="5123" width="15.6328125" style="1239" customWidth="1"/>
    <col min="5124" max="5124" width="9.36328125" style="1239" bestFit="1" customWidth="1"/>
    <col min="5125" max="5125" width="13.453125" style="1239" customWidth="1"/>
    <col min="5126" max="5126" width="9" style="1239"/>
    <col min="5127" max="5127" width="9.36328125" style="1239" bestFit="1" customWidth="1"/>
    <col min="5128" max="5129" width="9" style="1239"/>
    <col min="5130" max="5130" width="9.36328125" style="1239" bestFit="1" customWidth="1"/>
    <col min="5131" max="5131" width="4" style="1239" customWidth="1"/>
    <col min="5132" max="5132" width="5.08984375" style="1239" customWidth="1"/>
    <col min="5133" max="5133" width="13.7265625" style="1239" customWidth="1"/>
    <col min="5134" max="5376" width="9" style="1239"/>
    <col min="5377" max="5377" width="4.90625" style="1239" customWidth="1"/>
    <col min="5378" max="5378" width="13.26953125" style="1239" customWidth="1"/>
    <col min="5379" max="5379" width="15.6328125" style="1239" customWidth="1"/>
    <col min="5380" max="5380" width="9.36328125" style="1239" bestFit="1" customWidth="1"/>
    <col min="5381" max="5381" width="13.453125" style="1239" customWidth="1"/>
    <col min="5382" max="5382" width="9" style="1239"/>
    <col min="5383" max="5383" width="9.36328125" style="1239" bestFit="1" customWidth="1"/>
    <col min="5384" max="5385" width="9" style="1239"/>
    <col min="5386" max="5386" width="9.36328125" style="1239" bestFit="1" customWidth="1"/>
    <col min="5387" max="5387" width="4" style="1239" customWidth="1"/>
    <col min="5388" max="5388" width="5.08984375" style="1239" customWidth="1"/>
    <col min="5389" max="5389" width="13.7265625" style="1239" customWidth="1"/>
    <col min="5390" max="5632" width="9" style="1239"/>
    <col min="5633" max="5633" width="4.90625" style="1239" customWidth="1"/>
    <col min="5634" max="5634" width="13.26953125" style="1239" customWidth="1"/>
    <col min="5635" max="5635" width="15.6328125" style="1239" customWidth="1"/>
    <col min="5636" max="5636" width="9.36328125" style="1239" bestFit="1" customWidth="1"/>
    <col min="5637" max="5637" width="13.453125" style="1239" customWidth="1"/>
    <col min="5638" max="5638" width="9" style="1239"/>
    <col min="5639" max="5639" width="9.36328125" style="1239" bestFit="1" customWidth="1"/>
    <col min="5640" max="5641" width="9" style="1239"/>
    <col min="5642" max="5642" width="9.36328125" style="1239" bestFit="1" customWidth="1"/>
    <col min="5643" max="5643" width="4" style="1239" customWidth="1"/>
    <col min="5644" max="5644" width="5.08984375" style="1239" customWidth="1"/>
    <col min="5645" max="5645" width="13.7265625" style="1239" customWidth="1"/>
    <col min="5646" max="5888" width="9" style="1239"/>
    <col min="5889" max="5889" width="4.90625" style="1239" customWidth="1"/>
    <col min="5890" max="5890" width="13.26953125" style="1239" customWidth="1"/>
    <col min="5891" max="5891" width="15.6328125" style="1239" customWidth="1"/>
    <col min="5892" max="5892" width="9.36328125" style="1239" bestFit="1" customWidth="1"/>
    <col min="5893" max="5893" width="13.453125" style="1239" customWidth="1"/>
    <col min="5894" max="5894" width="9" style="1239"/>
    <col min="5895" max="5895" width="9.36328125" style="1239" bestFit="1" customWidth="1"/>
    <col min="5896" max="5897" width="9" style="1239"/>
    <col min="5898" max="5898" width="9.36328125" style="1239" bestFit="1" customWidth="1"/>
    <col min="5899" max="5899" width="4" style="1239" customWidth="1"/>
    <col min="5900" max="5900" width="5.08984375" style="1239" customWidth="1"/>
    <col min="5901" max="5901" width="13.7265625" style="1239" customWidth="1"/>
    <col min="5902" max="6144" width="9" style="1239"/>
    <col min="6145" max="6145" width="4.90625" style="1239" customWidth="1"/>
    <col min="6146" max="6146" width="13.26953125" style="1239" customWidth="1"/>
    <col min="6147" max="6147" width="15.6328125" style="1239" customWidth="1"/>
    <col min="6148" max="6148" width="9.36328125" style="1239" bestFit="1" customWidth="1"/>
    <col min="6149" max="6149" width="13.453125" style="1239" customWidth="1"/>
    <col min="6150" max="6150" width="9" style="1239"/>
    <col min="6151" max="6151" width="9.36328125" style="1239" bestFit="1" customWidth="1"/>
    <col min="6152" max="6153" width="9" style="1239"/>
    <col min="6154" max="6154" width="9.36328125" style="1239" bestFit="1" customWidth="1"/>
    <col min="6155" max="6155" width="4" style="1239" customWidth="1"/>
    <col min="6156" max="6156" width="5.08984375" style="1239" customWidth="1"/>
    <col min="6157" max="6157" width="13.7265625" style="1239" customWidth="1"/>
    <col min="6158" max="6400" width="9" style="1239"/>
    <col min="6401" max="6401" width="4.90625" style="1239" customWidth="1"/>
    <col min="6402" max="6402" width="13.26953125" style="1239" customWidth="1"/>
    <col min="6403" max="6403" width="15.6328125" style="1239" customWidth="1"/>
    <col min="6404" max="6404" width="9.36328125" style="1239" bestFit="1" customWidth="1"/>
    <col min="6405" max="6405" width="13.453125" style="1239" customWidth="1"/>
    <col min="6406" max="6406" width="9" style="1239"/>
    <col min="6407" max="6407" width="9.36328125" style="1239" bestFit="1" customWidth="1"/>
    <col min="6408" max="6409" width="9" style="1239"/>
    <col min="6410" max="6410" width="9.36328125" style="1239" bestFit="1" customWidth="1"/>
    <col min="6411" max="6411" width="4" style="1239" customWidth="1"/>
    <col min="6412" max="6412" width="5.08984375" style="1239" customWidth="1"/>
    <col min="6413" max="6413" width="13.7265625" style="1239" customWidth="1"/>
    <col min="6414" max="6656" width="9" style="1239"/>
    <col min="6657" max="6657" width="4.90625" style="1239" customWidth="1"/>
    <col min="6658" max="6658" width="13.26953125" style="1239" customWidth="1"/>
    <col min="6659" max="6659" width="15.6328125" style="1239" customWidth="1"/>
    <col min="6660" max="6660" width="9.36328125" style="1239" bestFit="1" customWidth="1"/>
    <col min="6661" max="6661" width="13.453125" style="1239" customWidth="1"/>
    <col min="6662" max="6662" width="9" style="1239"/>
    <col min="6663" max="6663" width="9.36328125" style="1239" bestFit="1" customWidth="1"/>
    <col min="6664" max="6665" width="9" style="1239"/>
    <col min="6666" max="6666" width="9.36328125" style="1239" bestFit="1" customWidth="1"/>
    <col min="6667" max="6667" width="4" style="1239" customWidth="1"/>
    <col min="6668" max="6668" width="5.08984375" style="1239" customWidth="1"/>
    <col min="6669" max="6669" width="13.7265625" style="1239" customWidth="1"/>
    <col min="6670" max="6912" width="9" style="1239"/>
    <col min="6913" max="6913" width="4.90625" style="1239" customWidth="1"/>
    <col min="6914" max="6914" width="13.26953125" style="1239" customWidth="1"/>
    <col min="6915" max="6915" width="15.6328125" style="1239" customWidth="1"/>
    <col min="6916" max="6916" width="9.36328125" style="1239" bestFit="1" customWidth="1"/>
    <col min="6917" max="6917" width="13.453125" style="1239" customWidth="1"/>
    <col min="6918" max="6918" width="9" style="1239"/>
    <col min="6919" max="6919" width="9.36328125" style="1239" bestFit="1" customWidth="1"/>
    <col min="6920" max="6921" width="9" style="1239"/>
    <col min="6922" max="6922" width="9.36328125" style="1239" bestFit="1" customWidth="1"/>
    <col min="6923" max="6923" width="4" style="1239" customWidth="1"/>
    <col min="6924" max="6924" width="5.08984375" style="1239" customWidth="1"/>
    <col min="6925" max="6925" width="13.7265625" style="1239" customWidth="1"/>
    <col min="6926" max="7168" width="9" style="1239"/>
    <col min="7169" max="7169" width="4.90625" style="1239" customWidth="1"/>
    <col min="7170" max="7170" width="13.26953125" style="1239" customWidth="1"/>
    <col min="7171" max="7171" width="15.6328125" style="1239" customWidth="1"/>
    <col min="7172" max="7172" width="9.36328125" style="1239" bestFit="1" customWidth="1"/>
    <col min="7173" max="7173" width="13.453125" style="1239" customWidth="1"/>
    <col min="7174" max="7174" width="9" style="1239"/>
    <col min="7175" max="7175" width="9.36328125" style="1239" bestFit="1" customWidth="1"/>
    <col min="7176" max="7177" width="9" style="1239"/>
    <col min="7178" max="7178" width="9.36328125" style="1239" bestFit="1" customWidth="1"/>
    <col min="7179" max="7179" width="4" style="1239" customWidth="1"/>
    <col min="7180" max="7180" width="5.08984375" style="1239" customWidth="1"/>
    <col min="7181" max="7181" width="13.7265625" style="1239" customWidth="1"/>
    <col min="7182" max="7424" width="9" style="1239"/>
    <col min="7425" max="7425" width="4.90625" style="1239" customWidth="1"/>
    <col min="7426" max="7426" width="13.26953125" style="1239" customWidth="1"/>
    <col min="7427" max="7427" width="15.6328125" style="1239" customWidth="1"/>
    <col min="7428" max="7428" width="9.36328125" style="1239" bestFit="1" customWidth="1"/>
    <col min="7429" max="7429" width="13.453125" style="1239" customWidth="1"/>
    <col min="7430" max="7430" width="9" style="1239"/>
    <col min="7431" max="7431" width="9.36328125" style="1239" bestFit="1" customWidth="1"/>
    <col min="7432" max="7433" width="9" style="1239"/>
    <col min="7434" max="7434" width="9.36328125" style="1239" bestFit="1" customWidth="1"/>
    <col min="7435" max="7435" width="4" style="1239" customWidth="1"/>
    <col min="7436" max="7436" width="5.08984375" style="1239" customWidth="1"/>
    <col min="7437" max="7437" width="13.7265625" style="1239" customWidth="1"/>
    <col min="7438" max="7680" width="9" style="1239"/>
    <col min="7681" max="7681" width="4.90625" style="1239" customWidth="1"/>
    <col min="7682" max="7682" width="13.26953125" style="1239" customWidth="1"/>
    <col min="7683" max="7683" width="15.6328125" style="1239" customWidth="1"/>
    <col min="7684" max="7684" width="9.36328125" style="1239" bestFit="1" customWidth="1"/>
    <col min="7685" max="7685" width="13.453125" style="1239" customWidth="1"/>
    <col min="7686" max="7686" width="9" style="1239"/>
    <col min="7687" max="7687" width="9.36328125" style="1239" bestFit="1" customWidth="1"/>
    <col min="7688" max="7689" width="9" style="1239"/>
    <col min="7690" max="7690" width="9.36328125" style="1239" bestFit="1" customWidth="1"/>
    <col min="7691" max="7691" width="4" style="1239" customWidth="1"/>
    <col min="7692" max="7692" width="5.08984375" style="1239" customWidth="1"/>
    <col min="7693" max="7693" width="13.7265625" style="1239" customWidth="1"/>
    <col min="7694" max="7936" width="9" style="1239"/>
    <col min="7937" max="7937" width="4.90625" style="1239" customWidth="1"/>
    <col min="7938" max="7938" width="13.26953125" style="1239" customWidth="1"/>
    <col min="7939" max="7939" width="15.6328125" style="1239" customWidth="1"/>
    <col min="7940" max="7940" width="9.36328125" style="1239" bestFit="1" customWidth="1"/>
    <col min="7941" max="7941" width="13.453125" style="1239" customWidth="1"/>
    <col min="7942" max="7942" width="9" style="1239"/>
    <col min="7943" max="7943" width="9.36328125" style="1239" bestFit="1" customWidth="1"/>
    <col min="7944" max="7945" width="9" style="1239"/>
    <col min="7946" max="7946" width="9.36328125" style="1239" bestFit="1" customWidth="1"/>
    <col min="7947" max="7947" width="4" style="1239" customWidth="1"/>
    <col min="7948" max="7948" width="5.08984375" style="1239" customWidth="1"/>
    <col min="7949" max="7949" width="13.7265625" style="1239" customWidth="1"/>
    <col min="7950" max="8192" width="9" style="1239"/>
    <col min="8193" max="8193" width="4.90625" style="1239" customWidth="1"/>
    <col min="8194" max="8194" width="13.26953125" style="1239" customWidth="1"/>
    <col min="8195" max="8195" width="15.6328125" style="1239" customWidth="1"/>
    <col min="8196" max="8196" width="9.36328125" style="1239" bestFit="1" customWidth="1"/>
    <col min="8197" max="8197" width="13.453125" style="1239" customWidth="1"/>
    <col min="8198" max="8198" width="9" style="1239"/>
    <col min="8199" max="8199" width="9.36328125" style="1239" bestFit="1" customWidth="1"/>
    <col min="8200" max="8201" width="9" style="1239"/>
    <col min="8202" max="8202" width="9.36328125" style="1239" bestFit="1" customWidth="1"/>
    <col min="8203" max="8203" width="4" style="1239" customWidth="1"/>
    <col min="8204" max="8204" width="5.08984375" style="1239" customWidth="1"/>
    <col min="8205" max="8205" width="13.7265625" style="1239" customWidth="1"/>
    <col min="8206" max="8448" width="9" style="1239"/>
    <col min="8449" max="8449" width="4.90625" style="1239" customWidth="1"/>
    <col min="8450" max="8450" width="13.26953125" style="1239" customWidth="1"/>
    <col min="8451" max="8451" width="15.6328125" style="1239" customWidth="1"/>
    <col min="8452" max="8452" width="9.36328125" style="1239" bestFit="1" customWidth="1"/>
    <col min="8453" max="8453" width="13.453125" style="1239" customWidth="1"/>
    <col min="8454" max="8454" width="9" style="1239"/>
    <col min="8455" max="8455" width="9.36328125" style="1239" bestFit="1" customWidth="1"/>
    <col min="8456" max="8457" width="9" style="1239"/>
    <col min="8458" max="8458" width="9.36328125" style="1239" bestFit="1" customWidth="1"/>
    <col min="8459" max="8459" width="4" style="1239" customWidth="1"/>
    <col min="8460" max="8460" width="5.08984375" style="1239" customWidth="1"/>
    <col min="8461" max="8461" width="13.7265625" style="1239" customWidth="1"/>
    <col min="8462" max="8704" width="9" style="1239"/>
    <col min="8705" max="8705" width="4.90625" style="1239" customWidth="1"/>
    <col min="8706" max="8706" width="13.26953125" style="1239" customWidth="1"/>
    <col min="8707" max="8707" width="15.6328125" style="1239" customWidth="1"/>
    <col min="8708" max="8708" width="9.36328125" style="1239" bestFit="1" customWidth="1"/>
    <col min="8709" max="8709" width="13.453125" style="1239" customWidth="1"/>
    <col min="8710" max="8710" width="9" style="1239"/>
    <col min="8711" max="8711" width="9.36328125" style="1239" bestFit="1" customWidth="1"/>
    <col min="8712" max="8713" width="9" style="1239"/>
    <col min="8714" max="8714" width="9.36328125" style="1239" bestFit="1" customWidth="1"/>
    <col min="8715" max="8715" width="4" style="1239" customWidth="1"/>
    <col min="8716" max="8716" width="5.08984375" style="1239" customWidth="1"/>
    <col min="8717" max="8717" width="13.7265625" style="1239" customWidth="1"/>
    <col min="8718" max="8960" width="9" style="1239"/>
    <col min="8961" max="8961" width="4.90625" style="1239" customWidth="1"/>
    <col min="8962" max="8962" width="13.26953125" style="1239" customWidth="1"/>
    <col min="8963" max="8963" width="15.6328125" style="1239" customWidth="1"/>
    <col min="8964" max="8964" width="9.36328125" style="1239" bestFit="1" customWidth="1"/>
    <col min="8965" max="8965" width="13.453125" style="1239" customWidth="1"/>
    <col min="8966" max="8966" width="9" style="1239"/>
    <col min="8967" max="8967" width="9.36328125" style="1239" bestFit="1" customWidth="1"/>
    <col min="8968" max="8969" width="9" style="1239"/>
    <col min="8970" max="8970" width="9.36328125" style="1239" bestFit="1" customWidth="1"/>
    <col min="8971" max="8971" width="4" style="1239" customWidth="1"/>
    <col min="8972" max="8972" width="5.08984375" style="1239" customWidth="1"/>
    <col min="8973" max="8973" width="13.7265625" style="1239" customWidth="1"/>
    <col min="8974" max="9216" width="9" style="1239"/>
    <col min="9217" max="9217" width="4.90625" style="1239" customWidth="1"/>
    <col min="9218" max="9218" width="13.26953125" style="1239" customWidth="1"/>
    <col min="9219" max="9219" width="15.6328125" style="1239" customWidth="1"/>
    <col min="9220" max="9220" width="9.36328125" style="1239" bestFit="1" customWidth="1"/>
    <col min="9221" max="9221" width="13.453125" style="1239" customWidth="1"/>
    <col min="9222" max="9222" width="9" style="1239"/>
    <col min="9223" max="9223" width="9.36328125" style="1239" bestFit="1" customWidth="1"/>
    <col min="9224" max="9225" width="9" style="1239"/>
    <col min="9226" max="9226" width="9.36328125" style="1239" bestFit="1" customWidth="1"/>
    <col min="9227" max="9227" width="4" style="1239" customWidth="1"/>
    <col min="9228" max="9228" width="5.08984375" style="1239" customWidth="1"/>
    <col min="9229" max="9229" width="13.7265625" style="1239" customWidth="1"/>
    <col min="9230" max="9472" width="9" style="1239"/>
    <col min="9473" max="9473" width="4.90625" style="1239" customWidth="1"/>
    <col min="9474" max="9474" width="13.26953125" style="1239" customWidth="1"/>
    <col min="9475" max="9475" width="15.6328125" style="1239" customWidth="1"/>
    <col min="9476" max="9476" width="9.36328125" style="1239" bestFit="1" customWidth="1"/>
    <col min="9477" max="9477" width="13.453125" style="1239" customWidth="1"/>
    <col min="9478" max="9478" width="9" style="1239"/>
    <col min="9479" max="9479" width="9.36328125" style="1239" bestFit="1" customWidth="1"/>
    <col min="9480" max="9481" width="9" style="1239"/>
    <col min="9482" max="9482" width="9.36328125" style="1239" bestFit="1" customWidth="1"/>
    <col min="9483" max="9483" width="4" style="1239" customWidth="1"/>
    <col min="9484" max="9484" width="5.08984375" style="1239" customWidth="1"/>
    <col min="9485" max="9485" width="13.7265625" style="1239" customWidth="1"/>
    <col min="9486" max="9728" width="9" style="1239"/>
    <col min="9729" max="9729" width="4.90625" style="1239" customWidth="1"/>
    <col min="9730" max="9730" width="13.26953125" style="1239" customWidth="1"/>
    <col min="9731" max="9731" width="15.6328125" style="1239" customWidth="1"/>
    <col min="9732" max="9732" width="9.36328125" style="1239" bestFit="1" customWidth="1"/>
    <col min="9733" max="9733" width="13.453125" style="1239" customWidth="1"/>
    <col min="9734" max="9734" width="9" style="1239"/>
    <col min="9735" max="9735" width="9.36328125" style="1239" bestFit="1" customWidth="1"/>
    <col min="9736" max="9737" width="9" style="1239"/>
    <col min="9738" max="9738" width="9.36328125" style="1239" bestFit="1" customWidth="1"/>
    <col min="9739" max="9739" width="4" style="1239" customWidth="1"/>
    <col min="9740" max="9740" width="5.08984375" style="1239" customWidth="1"/>
    <col min="9741" max="9741" width="13.7265625" style="1239" customWidth="1"/>
    <col min="9742" max="9984" width="9" style="1239"/>
    <col min="9985" max="9985" width="4.90625" style="1239" customWidth="1"/>
    <col min="9986" max="9986" width="13.26953125" style="1239" customWidth="1"/>
    <col min="9987" max="9987" width="15.6328125" style="1239" customWidth="1"/>
    <col min="9988" max="9988" width="9.36328125" style="1239" bestFit="1" customWidth="1"/>
    <col min="9989" max="9989" width="13.453125" style="1239" customWidth="1"/>
    <col min="9990" max="9990" width="9" style="1239"/>
    <col min="9991" max="9991" width="9.36328125" style="1239" bestFit="1" customWidth="1"/>
    <col min="9992" max="9993" width="9" style="1239"/>
    <col min="9994" max="9994" width="9.36328125" style="1239" bestFit="1" customWidth="1"/>
    <col min="9995" max="9995" width="4" style="1239" customWidth="1"/>
    <col min="9996" max="9996" width="5.08984375" style="1239" customWidth="1"/>
    <col min="9997" max="9997" width="13.7265625" style="1239" customWidth="1"/>
    <col min="9998" max="10240" width="9" style="1239"/>
    <col min="10241" max="10241" width="4.90625" style="1239" customWidth="1"/>
    <col min="10242" max="10242" width="13.26953125" style="1239" customWidth="1"/>
    <col min="10243" max="10243" width="15.6328125" style="1239" customWidth="1"/>
    <col min="10244" max="10244" width="9.36328125" style="1239" bestFit="1" customWidth="1"/>
    <col min="10245" max="10245" width="13.453125" style="1239" customWidth="1"/>
    <col min="10246" max="10246" width="9" style="1239"/>
    <col min="10247" max="10247" width="9.36328125" style="1239" bestFit="1" customWidth="1"/>
    <col min="10248" max="10249" width="9" style="1239"/>
    <col min="10250" max="10250" width="9.36328125" style="1239" bestFit="1" customWidth="1"/>
    <col min="10251" max="10251" width="4" style="1239" customWidth="1"/>
    <col min="10252" max="10252" width="5.08984375" style="1239" customWidth="1"/>
    <col min="10253" max="10253" width="13.7265625" style="1239" customWidth="1"/>
    <col min="10254" max="10496" width="9" style="1239"/>
    <col min="10497" max="10497" width="4.90625" style="1239" customWidth="1"/>
    <col min="10498" max="10498" width="13.26953125" style="1239" customWidth="1"/>
    <col min="10499" max="10499" width="15.6328125" style="1239" customWidth="1"/>
    <col min="10500" max="10500" width="9.36328125" style="1239" bestFit="1" customWidth="1"/>
    <col min="10501" max="10501" width="13.453125" style="1239" customWidth="1"/>
    <col min="10502" max="10502" width="9" style="1239"/>
    <col min="10503" max="10503" width="9.36328125" style="1239" bestFit="1" customWidth="1"/>
    <col min="10504" max="10505" width="9" style="1239"/>
    <col min="10506" max="10506" width="9.36328125" style="1239" bestFit="1" customWidth="1"/>
    <col min="10507" max="10507" width="4" style="1239" customWidth="1"/>
    <col min="10508" max="10508" width="5.08984375" style="1239" customWidth="1"/>
    <col min="10509" max="10509" width="13.7265625" style="1239" customWidth="1"/>
    <col min="10510" max="10752" width="9" style="1239"/>
    <col min="10753" max="10753" width="4.90625" style="1239" customWidth="1"/>
    <col min="10754" max="10754" width="13.26953125" style="1239" customWidth="1"/>
    <col min="10755" max="10755" width="15.6328125" style="1239" customWidth="1"/>
    <col min="10756" max="10756" width="9.36328125" style="1239" bestFit="1" customWidth="1"/>
    <col min="10757" max="10757" width="13.453125" style="1239" customWidth="1"/>
    <col min="10758" max="10758" width="9" style="1239"/>
    <col min="10759" max="10759" width="9.36328125" style="1239" bestFit="1" customWidth="1"/>
    <col min="10760" max="10761" width="9" style="1239"/>
    <col min="10762" max="10762" width="9.36328125" style="1239" bestFit="1" customWidth="1"/>
    <col min="10763" max="10763" width="4" style="1239" customWidth="1"/>
    <col min="10764" max="10764" width="5.08984375" style="1239" customWidth="1"/>
    <col min="10765" max="10765" width="13.7265625" style="1239" customWidth="1"/>
    <col min="10766" max="11008" width="9" style="1239"/>
    <col min="11009" max="11009" width="4.90625" style="1239" customWidth="1"/>
    <col min="11010" max="11010" width="13.26953125" style="1239" customWidth="1"/>
    <col min="11011" max="11011" width="15.6328125" style="1239" customWidth="1"/>
    <col min="11012" max="11012" width="9.36328125" style="1239" bestFit="1" customWidth="1"/>
    <col min="11013" max="11013" width="13.453125" style="1239" customWidth="1"/>
    <col min="11014" max="11014" width="9" style="1239"/>
    <col min="11015" max="11015" width="9.36328125" style="1239" bestFit="1" customWidth="1"/>
    <col min="11016" max="11017" width="9" style="1239"/>
    <col min="11018" max="11018" width="9.36328125" style="1239" bestFit="1" customWidth="1"/>
    <col min="11019" max="11019" width="4" style="1239" customWidth="1"/>
    <col min="11020" max="11020" width="5.08984375" style="1239" customWidth="1"/>
    <col min="11021" max="11021" width="13.7265625" style="1239" customWidth="1"/>
    <col min="11022" max="11264" width="9" style="1239"/>
    <col min="11265" max="11265" width="4.90625" style="1239" customWidth="1"/>
    <col min="11266" max="11266" width="13.26953125" style="1239" customWidth="1"/>
    <col min="11267" max="11267" width="15.6328125" style="1239" customWidth="1"/>
    <col min="11268" max="11268" width="9.36328125" style="1239" bestFit="1" customWidth="1"/>
    <col min="11269" max="11269" width="13.453125" style="1239" customWidth="1"/>
    <col min="11270" max="11270" width="9" style="1239"/>
    <col min="11271" max="11271" width="9.36328125" style="1239" bestFit="1" customWidth="1"/>
    <col min="11272" max="11273" width="9" style="1239"/>
    <col min="11274" max="11274" width="9.36328125" style="1239" bestFit="1" customWidth="1"/>
    <col min="11275" max="11275" width="4" style="1239" customWidth="1"/>
    <col min="11276" max="11276" width="5.08984375" style="1239" customWidth="1"/>
    <col min="11277" max="11277" width="13.7265625" style="1239" customWidth="1"/>
    <col min="11278" max="11520" width="9" style="1239"/>
    <col min="11521" max="11521" width="4.90625" style="1239" customWidth="1"/>
    <col min="11522" max="11522" width="13.26953125" style="1239" customWidth="1"/>
    <col min="11523" max="11523" width="15.6328125" style="1239" customWidth="1"/>
    <col min="11524" max="11524" width="9.36328125" style="1239" bestFit="1" customWidth="1"/>
    <col min="11525" max="11525" width="13.453125" style="1239" customWidth="1"/>
    <col min="11526" max="11526" width="9" style="1239"/>
    <col min="11527" max="11527" width="9.36328125" style="1239" bestFit="1" customWidth="1"/>
    <col min="11528" max="11529" width="9" style="1239"/>
    <col min="11530" max="11530" width="9.36328125" style="1239" bestFit="1" customWidth="1"/>
    <col min="11531" max="11531" width="4" style="1239" customWidth="1"/>
    <col min="11532" max="11532" width="5.08984375" style="1239" customWidth="1"/>
    <col min="11533" max="11533" width="13.7265625" style="1239" customWidth="1"/>
    <col min="11534" max="11776" width="9" style="1239"/>
    <col min="11777" max="11777" width="4.90625" style="1239" customWidth="1"/>
    <col min="11778" max="11778" width="13.26953125" style="1239" customWidth="1"/>
    <col min="11779" max="11779" width="15.6328125" style="1239" customWidth="1"/>
    <col min="11780" max="11780" width="9.36328125" style="1239" bestFit="1" customWidth="1"/>
    <col min="11781" max="11781" width="13.453125" style="1239" customWidth="1"/>
    <col min="11782" max="11782" width="9" style="1239"/>
    <col min="11783" max="11783" width="9.36328125" style="1239" bestFit="1" customWidth="1"/>
    <col min="11784" max="11785" width="9" style="1239"/>
    <col min="11786" max="11786" width="9.36328125" style="1239" bestFit="1" customWidth="1"/>
    <col min="11787" max="11787" width="4" style="1239" customWidth="1"/>
    <col min="11788" max="11788" width="5.08984375" style="1239" customWidth="1"/>
    <col min="11789" max="11789" width="13.7265625" style="1239" customWidth="1"/>
    <col min="11790" max="12032" width="9" style="1239"/>
    <col min="12033" max="12033" width="4.90625" style="1239" customWidth="1"/>
    <col min="12034" max="12034" width="13.26953125" style="1239" customWidth="1"/>
    <col min="12035" max="12035" width="15.6328125" style="1239" customWidth="1"/>
    <col min="12036" max="12036" width="9.36328125" style="1239" bestFit="1" customWidth="1"/>
    <col min="12037" max="12037" width="13.453125" style="1239" customWidth="1"/>
    <col min="12038" max="12038" width="9" style="1239"/>
    <col min="12039" max="12039" width="9.36328125" style="1239" bestFit="1" customWidth="1"/>
    <col min="12040" max="12041" width="9" style="1239"/>
    <col min="12042" max="12042" width="9.36328125" style="1239" bestFit="1" customWidth="1"/>
    <col min="12043" max="12043" width="4" style="1239" customWidth="1"/>
    <col min="12044" max="12044" width="5.08984375" style="1239" customWidth="1"/>
    <col min="12045" max="12045" width="13.7265625" style="1239" customWidth="1"/>
    <col min="12046" max="12288" width="9" style="1239"/>
    <col min="12289" max="12289" width="4.90625" style="1239" customWidth="1"/>
    <col min="12290" max="12290" width="13.26953125" style="1239" customWidth="1"/>
    <col min="12291" max="12291" width="15.6328125" style="1239" customWidth="1"/>
    <col min="12292" max="12292" width="9.36328125" style="1239" bestFit="1" customWidth="1"/>
    <col min="12293" max="12293" width="13.453125" style="1239" customWidth="1"/>
    <col min="12294" max="12294" width="9" style="1239"/>
    <col min="12295" max="12295" width="9.36328125" style="1239" bestFit="1" customWidth="1"/>
    <col min="12296" max="12297" width="9" style="1239"/>
    <col min="12298" max="12298" width="9.36328125" style="1239" bestFit="1" customWidth="1"/>
    <col min="12299" max="12299" width="4" style="1239" customWidth="1"/>
    <col min="12300" max="12300" width="5.08984375" style="1239" customWidth="1"/>
    <col min="12301" max="12301" width="13.7265625" style="1239" customWidth="1"/>
    <col min="12302" max="12544" width="9" style="1239"/>
    <col min="12545" max="12545" width="4.90625" style="1239" customWidth="1"/>
    <col min="12546" max="12546" width="13.26953125" style="1239" customWidth="1"/>
    <col min="12547" max="12547" width="15.6328125" style="1239" customWidth="1"/>
    <col min="12548" max="12548" width="9.36328125" style="1239" bestFit="1" customWidth="1"/>
    <col min="12549" max="12549" width="13.453125" style="1239" customWidth="1"/>
    <col min="12550" max="12550" width="9" style="1239"/>
    <col min="12551" max="12551" width="9.36328125" style="1239" bestFit="1" customWidth="1"/>
    <col min="12552" max="12553" width="9" style="1239"/>
    <col min="12554" max="12554" width="9.36328125" style="1239" bestFit="1" customWidth="1"/>
    <col min="12555" max="12555" width="4" style="1239" customWidth="1"/>
    <col min="12556" max="12556" width="5.08984375" style="1239" customWidth="1"/>
    <col min="12557" max="12557" width="13.7265625" style="1239" customWidth="1"/>
    <col min="12558" max="12800" width="9" style="1239"/>
    <col min="12801" max="12801" width="4.90625" style="1239" customWidth="1"/>
    <col min="12802" max="12802" width="13.26953125" style="1239" customWidth="1"/>
    <col min="12803" max="12803" width="15.6328125" style="1239" customWidth="1"/>
    <col min="12804" max="12804" width="9.36328125" style="1239" bestFit="1" customWidth="1"/>
    <col min="12805" max="12805" width="13.453125" style="1239" customWidth="1"/>
    <col min="12806" max="12806" width="9" style="1239"/>
    <col min="12807" max="12807" width="9.36328125" style="1239" bestFit="1" customWidth="1"/>
    <col min="12808" max="12809" width="9" style="1239"/>
    <col min="12810" max="12810" width="9.36328125" style="1239" bestFit="1" customWidth="1"/>
    <col min="12811" max="12811" width="4" style="1239" customWidth="1"/>
    <col min="12812" max="12812" width="5.08984375" style="1239" customWidth="1"/>
    <col min="12813" max="12813" width="13.7265625" style="1239" customWidth="1"/>
    <col min="12814" max="13056" width="9" style="1239"/>
    <col min="13057" max="13057" width="4.90625" style="1239" customWidth="1"/>
    <col min="13058" max="13058" width="13.26953125" style="1239" customWidth="1"/>
    <col min="13059" max="13059" width="15.6328125" style="1239" customWidth="1"/>
    <col min="13060" max="13060" width="9.36328125" style="1239" bestFit="1" customWidth="1"/>
    <col min="13061" max="13061" width="13.453125" style="1239" customWidth="1"/>
    <col min="13062" max="13062" width="9" style="1239"/>
    <col min="13063" max="13063" width="9.36328125" style="1239" bestFit="1" customWidth="1"/>
    <col min="13064" max="13065" width="9" style="1239"/>
    <col min="13066" max="13066" width="9.36328125" style="1239" bestFit="1" customWidth="1"/>
    <col min="13067" max="13067" width="4" style="1239" customWidth="1"/>
    <col min="13068" max="13068" width="5.08984375" style="1239" customWidth="1"/>
    <col min="13069" max="13069" width="13.7265625" style="1239" customWidth="1"/>
    <col min="13070" max="13312" width="9" style="1239"/>
    <col min="13313" max="13313" width="4.90625" style="1239" customWidth="1"/>
    <col min="13314" max="13314" width="13.26953125" style="1239" customWidth="1"/>
    <col min="13315" max="13315" width="15.6328125" style="1239" customWidth="1"/>
    <col min="13316" max="13316" width="9.36328125" style="1239" bestFit="1" customWidth="1"/>
    <col min="13317" max="13317" width="13.453125" style="1239" customWidth="1"/>
    <col min="13318" max="13318" width="9" style="1239"/>
    <col min="13319" max="13319" width="9.36328125" style="1239" bestFit="1" customWidth="1"/>
    <col min="13320" max="13321" width="9" style="1239"/>
    <col min="13322" max="13322" width="9.36328125" style="1239" bestFit="1" customWidth="1"/>
    <col min="13323" max="13323" width="4" style="1239" customWidth="1"/>
    <col min="13324" max="13324" width="5.08984375" style="1239" customWidth="1"/>
    <col min="13325" max="13325" width="13.7265625" style="1239" customWidth="1"/>
    <col min="13326" max="13568" width="9" style="1239"/>
    <col min="13569" max="13569" width="4.90625" style="1239" customWidth="1"/>
    <col min="13570" max="13570" width="13.26953125" style="1239" customWidth="1"/>
    <col min="13571" max="13571" width="15.6328125" style="1239" customWidth="1"/>
    <col min="13572" max="13572" width="9.36328125" style="1239" bestFit="1" customWidth="1"/>
    <col min="13573" max="13573" width="13.453125" style="1239" customWidth="1"/>
    <col min="13574" max="13574" width="9" style="1239"/>
    <col min="13575" max="13575" width="9.36328125" style="1239" bestFit="1" customWidth="1"/>
    <col min="13576" max="13577" width="9" style="1239"/>
    <col min="13578" max="13578" width="9.36328125" style="1239" bestFit="1" customWidth="1"/>
    <col min="13579" max="13579" width="4" style="1239" customWidth="1"/>
    <col min="13580" max="13580" width="5.08984375" style="1239" customWidth="1"/>
    <col min="13581" max="13581" width="13.7265625" style="1239" customWidth="1"/>
    <col min="13582" max="13824" width="9" style="1239"/>
    <col min="13825" max="13825" width="4.90625" style="1239" customWidth="1"/>
    <col min="13826" max="13826" width="13.26953125" style="1239" customWidth="1"/>
    <col min="13827" max="13827" width="15.6328125" style="1239" customWidth="1"/>
    <col min="13828" max="13828" width="9.36328125" style="1239" bestFit="1" customWidth="1"/>
    <col min="13829" max="13829" width="13.453125" style="1239" customWidth="1"/>
    <col min="13830" max="13830" width="9" style="1239"/>
    <col min="13831" max="13831" width="9.36328125" style="1239" bestFit="1" customWidth="1"/>
    <col min="13832" max="13833" width="9" style="1239"/>
    <col min="13834" max="13834" width="9.36328125" style="1239" bestFit="1" customWidth="1"/>
    <col min="13835" max="13835" width="4" style="1239" customWidth="1"/>
    <col min="13836" max="13836" width="5.08984375" style="1239" customWidth="1"/>
    <col min="13837" max="13837" width="13.7265625" style="1239" customWidth="1"/>
    <col min="13838" max="14080" width="9" style="1239"/>
    <col min="14081" max="14081" width="4.90625" style="1239" customWidth="1"/>
    <col min="14082" max="14082" width="13.26953125" style="1239" customWidth="1"/>
    <col min="14083" max="14083" width="15.6328125" style="1239" customWidth="1"/>
    <col min="14084" max="14084" width="9.36328125" style="1239" bestFit="1" customWidth="1"/>
    <col min="14085" max="14085" width="13.453125" style="1239" customWidth="1"/>
    <col min="14086" max="14086" width="9" style="1239"/>
    <col min="14087" max="14087" width="9.36328125" style="1239" bestFit="1" customWidth="1"/>
    <col min="14088" max="14089" width="9" style="1239"/>
    <col min="14090" max="14090" width="9.36328125" style="1239" bestFit="1" customWidth="1"/>
    <col min="14091" max="14091" width="4" style="1239" customWidth="1"/>
    <col min="14092" max="14092" width="5.08984375" style="1239" customWidth="1"/>
    <col min="14093" max="14093" width="13.7265625" style="1239" customWidth="1"/>
    <col min="14094" max="14336" width="9" style="1239"/>
    <col min="14337" max="14337" width="4.90625" style="1239" customWidth="1"/>
    <col min="14338" max="14338" width="13.26953125" style="1239" customWidth="1"/>
    <col min="14339" max="14339" width="15.6328125" style="1239" customWidth="1"/>
    <col min="14340" max="14340" width="9.36328125" style="1239" bestFit="1" customWidth="1"/>
    <col min="14341" max="14341" width="13.453125" style="1239" customWidth="1"/>
    <col min="14342" max="14342" width="9" style="1239"/>
    <col min="14343" max="14343" width="9.36328125" style="1239" bestFit="1" customWidth="1"/>
    <col min="14344" max="14345" width="9" style="1239"/>
    <col min="14346" max="14346" width="9.36328125" style="1239" bestFit="1" customWidth="1"/>
    <col min="14347" max="14347" width="4" style="1239" customWidth="1"/>
    <col min="14348" max="14348" width="5.08984375" style="1239" customWidth="1"/>
    <col min="14349" max="14349" width="13.7265625" style="1239" customWidth="1"/>
    <col min="14350" max="14592" width="9" style="1239"/>
    <col min="14593" max="14593" width="4.90625" style="1239" customWidth="1"/>
    <col min="14594" max="14594" width="13.26953125" style="1239" customWidth="1"/>
    <col min="14595" max="14595" width="15.6328125" style="1239" customWidth="1"/>
    <col min="14596" max="14596" width="9.36328125" style="1239" bestFit="1" customWidth="1"/>
    <col min="14597" max="14597" width="13.453125" style="1239" customWidth="1"/>
    <col min="14598" max="14598" width="9" style="1239"/>
    <col min="14599" max="14599" width="9.36328125" style="1239" bestFit="1" customWidth="1"/>
    <col min="14600" max="14601" width="9" style="1239"/>
    <col min="14602" max="14602" width="9.36328125" style="1239" bestFit="1" customWidth="1"/>
    <col min="14603" max="14603" width="4" style="1239" customWidth="1"/>
    <col min="14604" max="14604" width="5.08984375" style="1239" customWidth="1"/>
    <col min="14605" max="14605" width="13.7265625" style="1239" customWidth="1"/>
    <col min="14606" max="14848" width="9" style="1239"/>
    <col min="14849" max="14849" width="4.90625" style="1239" customWidth="1"/>
    <col min="14850" max="14850" width="13.26953125" style="1239" customWidth="1"/>
    <col min="14851" max="14851" width="15.6328125" style="1239" customWidth="1"/>
    <col min="14852" max="14852" width="9.36328125" style="1239" bestFit="1" customWidth="1"/>
    <col min="14853" max="14853" width="13.453125" style="1239" customWidth="1"/>
    <col min="14854" max="14854" width="9" style="1239"/>
    <col min="14855" max="14855" width="9.36328125" style="1239" bestFit="1" customWidth="1"/>
    <col min="14856" max="14857" width="9" style="1239"/>
    <col min="14858" max="14858" width="9.36328125" style="1239" bestFit="1" customWidth="1"/>
    <col min="14859" max="14859" width="4" style="1239" customWidth="1"/>
    <col min="14860" max="14860" width="5.08984375" style="1239" customWidth="1"/>
    <col min="14861" max="14861" width="13.7265625" style="1239" customWidth="1"/>
    <col min="14862" max="15104" width="9" style="1239"/>
    <col min="15105" max="15105" width="4.90625" style="1239" customWidth="1"/>
    <col min="15106" max="15106" width="13.26953125" style="1239" customWidth="1"/>
    <col min="15107" max="15107" width="15.6328125" style="1239" customWidth="1"/>
    <col min="15108" max="15108" width="9.36328125" style="1239" bestFit="1" customWidth="1"/>
    <col min="15109" max="15109" width="13.453125" style="1239" customWidth="1"/>
    <col min="15110" max="15110" width="9" style="1239"/>
    <col min="15111" max="15111" width="9.36328125" style="1239" bestFit="1" customWidth="1"/>
    <col min="15112" max="15113" width="9" style="1239"/>
    <col min="15114" max="15114" width="9.36328125" style="1239" bestFit="1" customWidth="1"/>
    <col min="15115" max="15115" width="4" style="1239" customWidth="1"/>
    <col min="15116" max="15116" width="5.08984375" style="1239" customWidth="1"/>
    <col min="15117" max="15117" width="13.7265625" style="1239" customWidth="1"/>
    <col min="15118" max="15360" width="9" style="1239"/>
    <col min="15361" max="15361" width="4.90625" style="1239" customWidth="1"/>
    <col min="15362" max="15362" width="13.26953125" style="1239" customWidth="1"/>
    <col min="15363" max="15363" width="15.6328125" style="1239" customWidth="1"/>
    <col min="15364" max="15364" width="9.36328125" style="1239" bestFit="1" customWidth="1"/>
    <col min="15365" max="15365" width="13.453125" style="1239" customWidth="1"/>
    <col min="15366" max="15366" width="9" style="1239"/>
    <col min="15367" max="15367" width="9.36328125" style="1239" bestFit="1" customWidth="1"/>
    <col min="15368" max="15369" width="9" style="1239"/>
    <col min="15370" max="15370" width="9.36328125" style="1239" bestFit="1" customWidth="1"/>
    <col min="15371" max="15371" width="4" style="1239" customWidth="1"/>
    <col min="15372" max="15372" width="5.08984375" style="1239" customWidth="1"/>
    <col min="15373" max="15373" width="13.7265625" style="1239" customWidth="1"/>
    <col min="15374" max="15616" width="9" style="1239"/>
    <col min="15617" max="15617" width="4.90625" style="1239" customWidth="1"/>
    <col min="15618" max="15618" width="13.26953125" style="1239" customWidth="1"/>
    <col min="15619" max="15619" width="15.6328125" style="1239" customWidth="1"/>
    <col min="15620" max="15620" width="9.36328125" style="1239" bestFit="1" customWidth="1"/>
    <col min="15621" max="15621" width="13.453125" style="1239" customWidth="1"/>
    <col min="15622" max="15622" width="9" style="1239"/>
    <col min="15623" max="15623" width="9.36328125" style="1239" bestFit="1" customWidth="1"/>
    <col min="15624" max="15625" width="9" style="1239"/>
    <col min="15626" max="15626" width="9.36328125" style="1239" bestFit="1" customWidth="1"/>
    <col min="15627" max="15627" width="4" style="1239" customWidth="1"/>
    <col min="15628" max="15628" width="5.08984375" style="1239" customWidth="1"/>
    <col min="15629" max="15629" width="13.7265625" style="1239" customWidth="1"/>
    <col min="15630" max="15872" width="9" style="1239"/>
    <col min="15873" max="15873" width="4.90625" style="1239" customWidth="1"/>
    <col min="15874" max="15874" width="13.26953125" style="1239" customWidth="1"/>
    <col min="15875" max="15875" width="15.6328125" style="1239" customWidth="1"/>
    <col min="15876" max="15876" width="9.36328125" style="1239" bestFit="1" customWidth="1"/>
    <col min="15877" max="15877" width="13.453125" style="1239" customWidth="1"/>
    <col min="15878" max="15878" width="9" style="1239"/>
    <col min="15879" max="15879" width="9.36328125" style="1239" bestFit="1" customWidth="1"/>
    <col min="15880" max="15881" width="9" style="1239"/>
    <col min="15882" max="15882" width="9.36328125" style="1239" bestFit="1" customWidth="1"/>
    <col min="15883" max="15883" width="4" style="1239" customWidth="1"/>
    <col min="15884" max="15884" width="5.08984375" style="1239" customWidth="1"/>
    <col min="15885" max="15885" width="13.7265625" style="1239" customWidth="1"/>
    <col min="15886" max="16128" width="9" style="1239"/>
    <col min="16129" max="16129" width="4.90625" style="1239" customWidth="1"/>
    <col min="16130" max="16130" width="13.26953125" style="1239" customWidth="1"/>
    <col min="16131" max="16131" width="15.6328125" style="1239" customWidth="1"/>
    <col min="16132" max="16132" width="9.36328125" style="1239" bestFit="1" customWidth="1"/>
    <col min="16133" max="16133" width="13.453125" style="1239" customWidth="1"/>
    <col min="16134" max="16134" width="9" style="1239"/>
    <col min="16135" max="16135" width="9.36328125" style="1239" bestFit="1" customWidth="1"/>
    <col min="16136" max="16137" width="9" style="1239"/>
    <col min="16138" max="16138" width="9.36328125" style="1239" bestFit="1" customWidth="1"/>
    <col min="16139" max="16139" width="4" style="1239" customWidth="1"/>
    <col min="16140" max="16140" width="5.08984375" style="1239" customWidth="1"/>
    <col min="16141" max="16141" width="13.7265625" style="1239" customWidth="1"/>
    <col min="16142" max="16384" width="9" style="1239"/>
  </cols>
  <sheetData>
    <row r="1" spans="1:257" s="1301" customFormat="1" ht="14.5" thickBot="1">
      <c r="A1" s="1295"/>
      <c r="B1" s="1302" t="s">
        <v>602</v>
      </c>
      <c r="C1" s="1296">
        <f>项目基本情况!D3</f>
        <v>45072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1">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3">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0">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477" customWidth="1"/>
    <col min="2" max="9" width="12.08984375" style="1477" customWidth="1"/>
    <col min="10" max="16384" width="9" style="1477"/>
  </cols>
  <sheetData>
    <row r="1" spans="1:9" ht="18.5" thickBot="1">
      <c r="A1" s="3485" t="str">
        <f>IF(项目基本情况!B9="房地产市场价值","估价结果一览表","结果表-2")</f>
        <v>估价结果一览表</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房地产市场价值</v>
      </c>
      <c r="I2" s="3486"/>
    </row>
    <row r="3" spans="1:9" ht="16">
      <c r="A3" s="3487"/>
      <c r="B3" s="3487"/>
      <c r="C3" s="3487"/>
      <c r="D3" s="854" t="s">
        <v>925</v>
      </c>
      <c r="E3" s="854" t="s">
        <v>931</v>
      </c>
      <c r="F3" s="854" t="s">
        <v>925</v>
      </c>
      <c r="G3" s="854" t="s">
        <v>926</v>
      </c>
      <c r="H3" s="854" t="s">
        <v>925</v>
      </c>
      <c r="I3" s="854" t="s">
        <v>926</v>
      </c>
    </row>
    <row r="4" spans="1:9" ht="15.5">
      <c r="A4" s="1505" t="str">
        <f>项目基本情况!S2</f>
        <v>北京市房地产</v>
      </c>
      <c r="B4" s="854">
        <f>项目基本情况!C17</f>
        <v>142.19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7" t="s">
        <v>927</v>
      </c>
      <c r="B5" s="3487"/>
      <c r="C5" s="3487"/>
      <c r="D5" s="3487" t="e">
        <f ca="1">结果表!D119</f>
        <v>#REF!</v>
      </c>
      <c r="E5" s="3487"/>
      <c r="F5" s="3487" t="e">
        <f ca="1">结果表!F119</f>
        <v>#REF!</v>
      </c>
      <c r="G5" s="3487"/>
      <c r="H5" s="3487" t="e">
        <f ca="1">结果表!H119</f>
        <v>#REF!</v>
      </c>
      <c r="I5" s="3487"/>
    </row>
    <row r="6" spans="1:9" ht="15.5">
      <c r="A6" s="3488" t="str">
        <f>结果表!A120</f>
        <v/>
      </c>
      <c r="B6" s="3488"/>
      <c r="C6" s="3488"/>
      <c r="D6" s="3488">
        <f>结果表!D120</f>
        <v>0</v>
      </c>
      <c r="E6" s="3488"/>
      <c r="F6" s="3488"/>
      <c r="G6" s="3488"/>
      <c r="H6" s="3488"/>
      <c r="I6" s="3488"/>
    </row>
    <row r="7" spans="1:9" ht="15.5">
      <c r="A7" s="3487" t="s">
        <v>927</v>
      </c>
      <c r="B7" s="3487"/>
      <c r="C7" s="3487"/>
      <c r="D7" s="3489" t="str">
        <f>结果表!D121</f>
        <v>零元整</v>
      </c>
      <c r="E7" s="3490"/>
      <c r="F7" s="3490"/>
      <c r="G7" s="3490"/>
      <c r="H7" s="3490"/>
      <c r="I7" s="3491"/>
    </row>
    <row r="8" spans="1:9" ht="15.5">
      <c r="A8" s="3488" t="str">
        <f>结果表!A122</f>
        <v/>
      </c>
      <c r="B8" s="3488"/>
      <c r="C8" s="3488"/>
      <c r="D8" s="3488" t="e">
        <f ca="1">结果表!D122</f>
        <v>#REF!</v>
      </c>
      <c r="E8" s="3488"/>
      <c r="F8" s="3488"/>
      <c r="G8" s="3488"/>
      <c r="H8" s="3488"/>
      <c r="I8" s="3488"/>
    </row>
    <row r="9" spans="1:9" ht="15.5">
      <c r="A9" s="3487" t="s">
        <v>927</v>
      </c>
      <c r="B9" s="3487"/>
      <c r="C9" s="3487"/>
      <c r="D9" s="3487" t="e">
        <f ca="1">结果表!D123</f>
        <v>#REF!</v>
      </c>
      <c r="E9" s="3487"/>
      <c r="F9" s="3487"/>
      <c r="G9" s="3487"/>
      <c r="H9" s="3487"/>
      <c r="I9" s="3487"/>
    </row>
    <row r="10" spans="1:9" ht="15.5">
      <c r="A10" s="3488" t="str">
        <f>结果表!A124</f>
        <v/>
      </c>
      <c r="B10" s="3488"/>
      <c r="C10" s="3488"/>
      <c r="D10" s="3488" t="str">
        <f>结果表!D124</f>
        <v>——</v>
      </c>
      <c r="E10" s="3488"/>
      <c r="F10" s="3488"/>
      <c r="G10" s="3488"/>
      <c r="H10" s="3488"/>
      <c r="I10" s="3488"/>
    </row>
    <row r="11" spans="1:9" ht="15.5">
      <c r="A11" s="3487" t="s">
        <v>927</v>
      </c>
      <c r="B11" s="3487"/>
      <c r="C11" s="3487"/>
      <c r="D11" s="3487" t="e">
        <f>结果表!D125</f>
        <v>#VALUE!</v>
      </c>
      <c r="E11" s="3487"/>
      <c r="F11" s="3487"/>
      <c r="G11" s="3487"/>
      <c r="H11" s="3487"/>
      <c r="I11" s="3487"/>
    </row>
    <row r="12" spans="1:9" ht="15.5">
      <c r="A12" s="3488" t="str">
        <f>结果表!A126</f>
        <v/>
      </c>
      <c r="B12" s="3488"/>
      <c r="C12" s="3488"/>
      <c r="D12" s="3488" t="str">
        <f>结果表!D126</f>
        <v>——</v>
      </c>
      <c r="E12" s="3488"/>
      <c r="F12" s="3488"/>
      <c r="G12" s="3488"/>
      <c r="H12" s="3488"/>
      <c r="I12" s="3488"/>
    </row>
    <row r="13" spans="1:9" ht="16" thickBot="1">
      <c r="A13" s="3492" t="s">
        <v>927</v>
      </c>
      <c r="B13" s="3492"/>
      <c r="C13" s="3492"/>
      <c r="D13" s="3492" t="e">
        <f>结果表!D127</f>
        <v>#VALUE!</v>
      </c>
      <c r="E13" s="3492"/>
      <c r="F13" s="3492"/>
      <c r="G13" s="3492"/>
      <c r="H13" s="3492"/>
      <c r="I13" s="3492"/>
    </row>
    <row r="14" spans="1:9" ht="14.5" thickTop="1">
      <c r="A14" s="3493" t="s">
        <v>932</v>
      </c>
      <c r="B14" s="3493"/>
      <c r="C14" s="3493"/>
      <c r="D14" s="3493"/>
      <c r="E14" s="3493"/>
      <c r="F14" s="3493"/>
      <c r="G14" s="3493"/>
      <c r="H14" s="3493"/>
      <c r="I14" s="3493"/>
    </row>
    <row r="16" spans="1:9" ht="1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477" customWidth="1"/>
    <col min="2" max="3" width="22.36328125" style="1477" customWidth="1"/>
    <col min="4" max="4" width="23" style="1477" customWidth="1"/>
    <col min="5" max="16384" width="9" style="1477"/>
  </cols>
  <sheetData>
    <row r="1" spans="1:4" ht="18">
      <c r="A1" s="3494" t="s">
        <v>949</v>
      </c>
      <c r="B1" s="3494"/>
      <c r="C1" s="3494"/>
      <c r="D1" s="3494"/>
    </row>
    <row r="2" spans="1:4" ht="18">
      <c r="A2" s="3495" t="s">
        <v>933</v>
      </c>
      <c r="B2" s="3495"/>
      <c r="C2" s="3495"/>
      <c r="D2" s="3495"/>
    </row>
    <row r="3" spans="1:4" ht="1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5" t="s">
        <v>939</v>
      </c>
      <c r="B6" s="3495"/>
      <c r="C6" s="3495"/>
      <c r="D6" s="3495"/>
    </row>
    <row r="7" spans="1:4" ht="1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
      <c r="A10" s="1516" t="s">
        <v>941</v>
      </c>
      <c r="B10" s="675"/>
      <c r="C10" s="675"/>
      <c r="D10" s="675"/>
    </row>
    <row r="11" spans="1:4" ht="30" customHeight="1">
      <c r="A11" s="3496" t="s">
        <v>942</v>
      </c>
      <c r="B11" s="3497"/>
      <c r="C11" s="3497"/>
      <c r="D11" s="3497"/>
    </row>
    <row r="12" spans="1:4" ht="15.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8"/>
      <c r="C12" s="3498"/>
      <c r="D12" s="3498"/>
    </row>
    <row r="13" spans="1:4" ht="30" customHeight="1">
      <c r="A13" s="3497" t="str">
        <f>IF(项目基本情况!B8="抵押","3.抵押双方在办理抵押登记手续时，应使用本公司出具的正式《房地产评估报告》，特提醒报告使用者注意。","——")</f>
        <v>——</v>
      </c>
      <c r="B13" s="3498"/>
      <c r="C13" s="3498"/>
      <c r="D13" s="3498"/>
    </row>
    <row r="14" spans="1:4" ht="15.75" customHeight="1">
      <c r="A14" s="3497" t="str">
        <f>IF(项目基本情况!B8="抵押","4.本次评估估价师所知悉的法定优先受偿款情况说明如下：","——")</f>
        <v>——</v>
      </c>
      <c r="B14" s="3498"/>
      <c r="C14" s="3498"/>
      <c r="D14" s="3498"/>
    </row>
    <row r="15" spans="1:4" ht="42" customHeight="1">
      <c r="A15" s="3497" t="str">
        <f>IF(项目基本情况!B8="抵押","（1）"&amp;CONCATENATE(项目基本情况!L20,项目基本情况!L21,项目基本情况!L22),"——")</f>
        <v>——</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7.5">
      <c r="A25" s="1518" t="s">
        <v>946</v>
      </c>
    </row>
    <row r="26" spans="1:4" ht="17.5">
      <c r="A26" s="1487"/>
    </row>
    <row r="27" spans="1:4" ht="17.5">
      <c r="A27" s="1487" t="s">
        <v>947</v>
      </c>
    </row>
    <row r="30" spans="1:4" ht="17.5">
      <c r="D30" s="1518"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1475" customWidth="1"/>
    <col min="3" max="10" width="12.453125" style="1475" customWidth="1"/>
    <col min="11" max="16384" width="9" style="1475"/>
  </cols>
  <sheetData>
    <row r="1" spans="1:10" ht="17.5">
      <c r="A1" s="1508" t="s">
        <v>391</v>
      </c>
      <c r="B1" s="1519"/>
      <c r="C1" s="1519"/>
      <c r="D1" s="1519"/>
      <c r="E1" s="1519"/>
      <c r="F1" s="1519"/>
      <c r="G1" s="1519"/>
      <c r="H1" s="1519"/>
      <c r="I1" s="1519"/>
      <c r="J1" s="1519"/>
    </row>
    <row r="2" spans="1:10" ht="1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525" customWidth="1"/>
    <col min="2" max="16384" width="14.453125" style="1507"/>
  </cols>
  <sheetData>
    <row r="1" spans="1:7" s="1522" customFormat="1" ht="1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
      <c r="A15" s="3508" t="s">
        <v>956</v>
      </c>
      <c r="B15" s="3503" t="s">
        <v>109</v>
      </c>
      <c r="C15" s="3504"/>
    </row>
    <row r="16" spans="1:7" ht="14">
      <c r="A16" s="3509"/>
      <c r="B16" s="3503" t="s">
        <v>42</v>
      </c>
      <c r="C16" s="3504"/>
    </row>
    <row r="17" spans="1:3" ht="14">
      <c r="A17" s="3509"/>
      <c r="B17" s="3506" t="s">
        <v>957</v>
      </c>
      <c r="C17" s="1532" t="s">
        <v>956</v>
      </c>
    </row>
    <row r="18" spans="1:3" ht="14">
      <c r="A18" s="3509"/>
      <c r="B18" s="3506"/>
      <c r="C18" s="1532" t="s">
        <v>958</v>
      </c>
    </row>
    <row r="19" spans="1:3" ht="14">
      <c r="A19" s="3509"/>
      <c r="B19" s="3506"/>
      <c r="C19" s="1532" t="s">
        <v>959</v>
      </c>
    </row>
    <row r="20" spans="1:3" ht="14">
      <c r="A20" s="3510"/>
      <c r="B20" s="3505" t="s">
        <v>960</v>
      </c>
      <c r="C20" s="3504"/>
    </row>
    <row r="21" spans="1:3" ht="14">
      <c r="A21" s="1533" t="s">
        <v>961</v>
      </c>
      <c r="B21" s="1534"/>
      <c r="C21" s="1535"/>
    </row>
    <row r="22" spans="1:3" ht="14">
      <c r="A22" s="3507" t="s">
        <v>962</v>
      </c>
      <c r="B22" s="3505" t="s">
        <v>963</v>
      </c>
      <c r="C22" s="3504"/>
    </row>
    <row r="23" spans="1:3" ht="14">
      <c r="A23" s="3507"/>
      <c r="B23" s="3505" t="s">
        <v>964</v>
      </c>
      <c r="C23" s="3504"/>
    </row>
    <row r="24" spans="1:3" ht="14">
      <c r="A24" s="3507"/>
      <c r="B24" s="3505" t="s">
        <v>965</v>
      </c>
      <c r="C24" s="3504"/>
    </row>
    <row r="25" spans="1:3" ht="14">
      <c r="A25" s="3507"/>
      <c r="B25" s="3506" t="s">
        <v>966</v>
      </c>
      <c r="C25" s="1532" t="s">
        <v>967</v>
      </c>
    </row>
    <row r="26" spans="1:3" ht="14">
      <c r="A26" s="3507"/>
      <c r="B26" s="3506"/>
      <c r="C26" s="1532" t="s">
        <v>968</v>
      </c>
    </row>
    <row r="27" spans="1:3" ht="14">
      <c r="A27" s="3507"/>
      <c r="B27" s="3506"/>
      <c r="C27" s="1532" t="s">
        <v>969</v>
      </c>
    </row>
    <row r="28" spans="1:3" ht="14">
      <c r="A28" s="3507"/>
      <c r="B28" s="3506"/>
      <c r="C28" s="1532" t="s">
        <v>970</v>
      </c>
    </row>
    <row r="29" spans="1:3" ht="14">
      <c r="A29" s="3507"/>
      <c r="B29" s="3506"/>
      <c r="C29" s="1532" t="s">
        <v>971</v>
      </c>
    </row>
    <row r="30" spans="1:3" ht="14">
      <c r="A30" s="3507"/>
      <c r="B30" s="3506"/>
      <c r="C30" s="1532" t="s">
        <v>972</v>
      </c>
    </row>
    <row r="31" spans="1:3" ht="14">
      <c r="A31" s="3507"/>
      <c r="B31" s="3506"/>
      <c r="C31" s="1532" t="s">
        <v>973</v>
      </c>
    </row>
    <row r="32" spans="1:3" ht="14">
      <c r="A32" s="3507"/>
      <c r="B32" s="3506"/>
      <c r="C32" s="1532" t="s">
        <v>974</v>
      </c>
    </row>
    <row r="33" spans="1:3" ht="14">
      <c r="A33" s="3507"/>
      <c r="B33" s="3506"/>
      <c r="C33" s="1532" t="s">
        <v>975</v>
      </c>
    </row>
    <row r="34" spans="1:3">
      <c r="A34" s="1536" t="s">
        <v>49</v>
      </c>
    </row>
    <row r="37" spans="1:3">
      <c r="A37" s="1536" t="s">
        <v>976</v>
      </c>
    </row>
    <row r="38" spans="1:3" ht="14">
      <c r="A38" s="1537" t="s">
        <v>50</v>
      </c>
    </row>
    <row r="39" spans="1:3" ht="14">
      <c r="A39" s="1537" t="s">
        <v>51</v>
      </c>
    </row>
    <row r="40" spans="1:3" ht="14">
      <c r="A40" s="1537" t="s">
        <v>52</v>
      </c>
    </row>
    <row r="41" spans="1:3" ht="14">
      <c r="A41" s="1538" t="s">
        <v>53</v>
      </c>
    </row>
    <row r="42" spans="1:3" ht="1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335" customWidth="1"/>
    <col min="2" max="2" width="38.6328125" style="2335" customWidth="1"/>
    <col min="3" max="3" width="26" style="2335" customWidth="1"/>
    <col min="4" max="4" width="35" style="2335" hidden="1" customWidth="1"/>
    <col min="5" max="5" width="30.08984375" style="2335" customWidth="1"/>
    <col min="6" max="6" width="35.453125" style="2335" customWidth="1"/>
    <col min="7" max="7" width="31" style="2335" customWidth="1"/>
    <col min="8" max="8" width="37.453125" style="2335" hidden="1" customWidth="1"/>
    <col min="9" max="16384" width="22.6328125" style="2335"/>
  </cols>
  <sheetData>
    <row r="1" spans="1:8" ht="24" customHeight="1">
      <c r="A1" s="2334"/>
      <c r="B1" s="2334"/>
      <c r="C1" s="2334"/>
      <c r="D1" s="2334"/>
      <c r="E1" s="2334"/>
      <c r="F1" s="2334"/>
      <c r="G1" s="2334"/>
      <c r="H1" s="2334"/>
    </row>
    <row r="2" spans="1:8" ht="24" customHeight="1">
      <c r="A2" s="2336" t="s">
        <v>2139</v>
      </c>
      <c r="B2" s="2337">
        <f ca="1">TODAY()</f>
        <v>45082</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2440</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11" t="s">
        <v>2160</v>
      </c>
      <c r="B17" s="3511"/>
      <c r="C17" s="3511"/>
      <c r="D17" s="3511"/>
      <c r="E17" s="3511"/>
      <c r="F17" s="3511"/>
      <c r="G17" s="3511"/>
      <c r="H17" s="3511"/>
    </row>
    <row r="18" spans="1:8" ht="24" customHeight="1">
      <c r="A18" s="3512" t="s">
        <v>2161</v>
      </c>
      <c r="B18" s="3512"/>
      <c r="C18" s="3512"/>
      <c r="D18" s="2341"/>
      <c r="E18" s="3513" t="s">
        <v>2162</v>
      </c>
      <c r="F18" s="3512"/>
      <c r="G18" s="3512"/>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收益法 (元)</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2023-06-05T00:48:32Z</cp:lastPrinted>
  <dcterms:created xsi:type="dcterms:W3CDTF">2015-07-13T07:17:23Z</dcterms:created>
  <dcterms:modified xsi:type="dcterms:W3CDTF">2023-06-05T03:26:50Z</dcterms:modified>
</cp:coreProperties>
</file>