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6" l="1"/>
  <c r="B14" i="74"/>
  <c r="C79" i="43"/>
  <c r="C76" i="43"/>
  <c r="C73" i="43"/>
  <c r="C72" i="43"/>
  <c r="M46" i="21"/>
  <c r="E28" i="21"/>
  <c r="M21" i="1"/>
  <c r="D14" i="9"/>
  <c r="C33" i="21"/>
  <c r="Y6" i="1"/>
  <c r="V19" i="1"/>
  <c r="D33" i="43"/>
  <c r="C13" i="43"/>
  <c r="G2" i="43"/>
  <c r="I2" i="43"/>
  <c r="M2" i="43"/>
  <c r="C6" i="43"/>
  <c r="C17" i="43"/>
  <c r="C20" i="43"/>
  <c r="C5" i="43"/>
  <c r="L15" i="79"/>
  <c r="S15" i="79"/>
  <c r="M15" i="79"/>
  <c r="T15" i="79"/>
  <c r="N15" i="79"/>
  <c r="U15" i="79"/>
  <c r="O15" i="79"/>
  <c r="V15" i="79"/>
  <c r="W15" i="7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9"/>
  <c r="E9" i="69"/>
  <c r="C9" i="69"/>
  <c r="G8" i="4"/>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P24" i="71"/>
  <c r="E24" i="71"/>
  <c r="P23" i="71"/>
  <c r="E23" i="71"/>
  <c r="P22" i="71"/>
  <c r="E22" i="71"/>
  <c r="P21" i="71"/>
  <c r="E21" i="71"/>
  <c r="P20" i="71"/>
  <c r="E20" i="71"/>
  <c r="P19" i="71"/>
  <c r="E19" i="71"/>
  <c r="P18" i="71"/>
  <c r="E18" i="71"/>
  <c r="P17" i="71"/>
  <c r="E17" i="71"/>
  <c r="P16" i="71"/>
  <c r="E16" i="71"/>
  <c r="M23" i="43"/>
  <c r="G24" i="43"/>
  <c r="I23" i="43"/>
  <c r="G17"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AB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c r="F38" i="69"/>
  <c r="E37" i="69"/>
  <c r="F36" i="69"/>
  <c r="F35" i="69"/>
  <c r="F21" i="69"/>
  <c r="F40" i="69"/>
  <c r="F20" i="69"/>
  <c r="F39" i="69"/>
  <c r="E10" i="69"/>
  <c r="AC21" i="37"/>
  <c r="W21" i="37"/>
  <c r="AC21" i="34"/>
  <c r="W21" i="34"/>
  <c r="AC21" i="33"/>
  <c r="W21" i="33"/>
  <c r="G83" i="21"/>
  <c r="J21" i="21"/>
  <c r="AC21" i="2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C36" i="68" s="1"/>
  <c r="E19" i="6"/>
  <c r="K6" i="1"/>
  <c r="M6" i="1"/>
  <c r="K7" i="1"/>
  <c r="M7" i="1"/>
  <c r="K8" i="1"/>
  <c r="M8" i="1"/>
  <c r="K9" i="1"/>
  <c r="M9" i="1"/>
  <c r="K10" i="1"/>
  <c r="M10" i="1"/>
  <c r="K11" i="1"/>
  <c r="M11" i="1"/>
  <c r="K12" i="1"/>
  <c r="M12" i="1"/>
  <c r="F28" i="6"/>
  <c r="G28" i="6"/>
  <c r="E28" i="6"/>
  <c r="K14" i="1"/>
  <c r="M14" i="1"/>
  <c r="M16" i="1"/>
  <c r="C34" i="68"/>
  <c r="C38" i="68" s="1"/>
  <c r="B43" i="1"/>
  <c r="D78" i="9"/>
  <c r="E20" i="6"/>
  <c r="E21" i="6"/>
  <c r="F23" i="15"/>
  <c r="D24" i="15"/>
  <c r="E22" i="6"/>
  <c r="E23" i="6"/>
  <c r="O10" i="1"/>
  <c r="P10" i="1"/>
  <c r="E24" i="6"/>
  <c r="E25" i="6"/>
  <c r="E26" i="6"/>
  <c r="BC10" i="3"/>
  <c r="BD10" i="3"/>
  <c r="BB10" i="3"/>
  <c r="F35" i="11"/>
  <c r="F36" i="11"/>
  <c r="F38" i="11"/>
  <c r="E37" i="11"/>
  <c r="F20" i="11"/>
  <c r="F21" i="11"/>
  <c r="C21" i="11"/>
  <c r="F7" i="11"/>
  <c r="C7"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J19" i="21"/>
  <c r="W19" i="21"/>
  <c r="J12" i="21"/>
  <c r="AC12" i="21"/>
  <c r="H12" i="21"/>
  <c r="AB12" i="21"/>
  <c r="F26" i="21"/>
  <c r="S26"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W35" i="40"/>
  <c r="A118" i="9"/>
  <c r="A4" i="52"/>
  <c r="B41" i="72"/>
  <c r="J11" i="39"/>
  <c r="W11" i="39"/>
  <c r="F11" i="39"/>
  <c r="AA11" i="39"/>
  <c r="S11" i="39"/>
  <c r="G4" i="4"/>
  <c r="I4" i="4"/>
  <c r="A2" i="9"/>
  <c r="F61" i="43"/>
  <c r="H64" i="43"/>
  <c r="F29" i="6"/>
  <c r="U36" i="40"/>
  <c r="F83" i="43"/>
  <c r="H85" i="43"/>
  <c r="F50" i="43"/>
  <c r="H54" i="43"/>
  <c r="F72" i="43"/>
  <c r="H75" i="43"/>
  <c r="U17" i="39"/>
  <c r="S14" i="35"/>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3" i="3"/>
  <c r="E510" i="3"/>
  <c r="J56" i="9"/>
  <c r="J57" i="9"/>
  <c r="J59" i="9"/>
  <c r="J61" i="9"/>
  <c r="A24" i="51"/>
  <c r="B18" i="72"/>
  <c r="U29" i="34"/>
  <c r="E32" i="6"/>
  <c r="G1" i="68"/>
  <c r="K1" i="12"/>
  <c r="E19" i="69"/>
  <c r="E19" i="68"/>
  <c r="E19" i="11"/>
  <c r="E1" i="73"/>
  <c r="G22" i="69"/>
  <c r="G22" i="68"/>
  <c r="G26" i="12"/>
  <c r="G22" i="11"/>
  <c r="B19" i="53"/>
  <c r="B37" i="72"/>
  <c r="C7" i="39"/>
  <c r="C67" i="39"/>
  <c r="C69" i="39"/>
  <c r="C7" i="35"/>
  <c r="C7" i="33"/>
  <c r="C7" i="21"/>
  <c r="C7" i="40"/>
  <c r="C63" i="40"/>
  <c r="M47" i="9"/>
  <c r="G23" i="43"/>
  <c r="C52" i="37"/>
  <c r="D52" i="37"/>
  <c r="E52" i="37"/>
  <c r="A4" i="51"/>
  <c r="B6" i="72"/>
  <c r="C48" i="35"/>
  <c r="D48" i="35"/>
  <c r="H67" i="43"/>
  <c r="L20" i="6"/>
  <c r="O11"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R48" i="21" s="1"/>
  <c r="J33" i="21"/>
  <c r="AC33" i="21" s="1"/>
  <c r="V48" i="21" s="1"/>
  <c r="I48" i="21" s="1"/>
  <c r="H33" i="21"/>
  <c r="AB33" i="21" s="1"/>
  <c r="T48" i="21" s="1"/>
  <c r="G48" i="21" s="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S17" i="21"/>
  <c r="AC2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J23" i="21"/>
  <c r="F85" i="21"/>
  <c r="G85" i="21"/>
  <c r="H23" i="21"/>
  <c r="AB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E3" i="6"/>
  <c r="E6" i="6"/>
  <c r="D10" i="69"/>
  <c r="C10" i="69" s="1"/>
  <c r="C8" i="69" s="1"/>
  <c r="C5" i="69" s="1"/>
  <c r="Q16" i="1"/>
  <c r="F27" i="69"/>
  <c r="C47" i="69" s="1"/>
  <c r="D45" i="69" s="1"/>
  <c r="C21" i="69"/>
  <c r="C29" i="69"/>
  <c r="D27" i="69" s="1"/>
  <c r="C34" i="69"/>
  <c r="C35" i="69" s="1"/>
  <c r="C36" i="69"/>
  <c r="D9" i="68"/>
  <c r="C9" i="68" s="1"/>
  <c r="D10" i="68"/>
  <c r="C10" i="68" s="1"/>
  <c r="F27" i="68"/>
  <c r="F45" i="68"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s="1"/>
  <c r="O9" i="1"/>
  <c r="P9" i="1"/>
  <c r="O12" i="1"/>
  <c r="P12" i="1"/>
  <c r="O8" i="1"/>
  <c r="P8" i="1"/>
  <c r="H73" i="43"/>
  <c r="H90" i="43"/>
  <c r="O23" i="43"/>
  <c r="I18" i="43"/>
  <c r="E17" i="43"/>
  <c r="C24" i="43"/>
  <c r="H26" i="43"/>
  <c r="F26" i="43"/>
  <c r="J26" i="43"/>
  <c r="G26" i="43"/>
  <c r="E26" i="43"/>
  <c r="A1" i="79"/>
  <c r="H55" i="43"/>
  <c r="H86" i="43"/>
  <c r="H87" i="43"/>
  <c r="N370" i="46"/>
  <c r="N94" i="46"/>
  <c r="H89" i="43"/>
  <c r="H88" i="43"/>
  <c r="H84" i="43"/>
  <c r="D67"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G16" i="1"/>
  <c r="F10" i="39"/>
  <c r="AA10" i="39"/>
  <c r="D23" i="67"/>
  <c r="G25" i="12"/>
  <c r="G41" i="11"/>
  <c r="G27" i="12"/>
  <c r="G41" i="68"/>
  <c r="F52" i="37"/>
  <c r="G52" i="37"/>
  <c r="H52" i="37"/>
  <c r="D58" i="21"/>
  <c r="E48" i="35"/>
  <c r="D63" i="40"/>
  <c r="C65" i="40"/>
  <c r="D58" i="33"/>
  <c r="E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E72" i="43"/>
  <c r="B70" i="43"/>
  <c r="C28" i="43"/>
  <c r="B116" i="43"/>
  <c r="Z7" i="43"/>
  <c r="E30" i="6"/>
  <c r="E56" i="39"/>
  <c r="AA26" i="35"/>
  <c r="S26" i="35"/>
  <c r="AC26" i="35"/>
  <c r="W26" i="35"/>
  <c r="AB26" i="35"/>
  <c r="U26" i="35"/>
  <c r="E61" i="39"/>
  <c r="E56" i="40"/>
  <c r="F27" i="11"/>
  <c r="C29" i="11"/>
  <c r="D27" i="11"/>
  <c r="F28" i="12"/>
  <c r="C29" i="12" s="1"/>
  <c r="D28" i="12" s="1"/>
  <c r="E60" i="40"/>
  <c r="E27" i="6"/>
  <c r="K26" i="6"/>
  <c r="M26" i="6"/>
  <c r="I26" i="6"/>
  <c r="S26" i="6"/>
  <c r="F31" i="6"/>
  <c r="E51" i="40"/>
  <c r="E16" i="6"/>
  <c r="AC6" i="3"/>
  <c r="H6" i="3"/>
  <c r="E58" i="40"/>
  <c r="E62" i="39"/>
  <c r="E65" i="39"/>
  <c r="AY6" i="3"/>
  <c r="D5" i="43"/>
  <c r="J10" i="40"/>
  <c r="H10" i="39"/>
  <c r="U10" i="39"/>
  <c r="F10" i="40"/>
  <c r="J10" i="39"/>
  <c r="W10" i="39"/>
  <c r="H10" i="40"/>
  <c r="AB10" i="40"/>
  <c r="D26" i="43"/>
  <c r="C25" i="43"/>
  <c r="C7" i="43"/>
  <c r="D10" i="52"/>
  <c r="D125" i="9"/>
  <c r="D11" i="52"/>
  <c r="S10" i="39"/>
  <c r="D65" i="40"/>
  <c r="E63" i="40"/>
  <c r="F48" i="35"/>
  <c r="E58" i="21"/>
  <c r="D14" i="71"/>
  <c r="P28" i="43"/>
  <c r="B66" i="40"/>
  <c r="P25" i="43"/>
  <c r="P29" i="43"/>
  <c r="P27" i="43"/>
  <c r="B70" i="39"/>
  <c r="C32" i="67"/>
  <c r="C32" i="15"/>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D17" i="12" s="1"/>
  <c r="C17" i="12" s="1"/>
  <c r="M18" i="9"/>
  <c r="B118" i="9"/>
  <c r="B1" i="74"/>
  <c r="D3" i="34"/>
  <c r="D19" i="11"/>
  <c r="C19" i="11"/>
  <c r="L18" i="9"/>
  <c r="C17" i="4"/>
  <c r="B4" i="52"/>
  <c r="B43" i="72"/>
  <c r="D3" i="33"/>
  <c r="D3" i="37"/>
  <c r="AB10" i="39"/>
  <c r="U10" i="40"/>
  <c r="AC10" i="39"/>
  <c r="F58" i="21"/>
  <c r="F63" i="40"/>
  <c r="F65" i="40"/>
  <c r="E65" i="40"/>
  <c r="G48" i="35"/>
  <c r="H48" i="35"/>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D11" i="71"/>
  <c r="C10" i="71"/>
  <c r="G63" i="40"/>
  <c r="G58" i="21"/>
  <c r="C60" i="15"/>
  <c r="C60" i="67"/>
  <c r="H23" i="6"/>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D10" i="71"/>
  <c r="C9" i="71"/>
  <c r="C8" i="71"/>
  <c r="G65" i="40"/>
  <c r="H63" i="40"/>
  <c r="H58" i="21"/>
  <c r="C33" i="15"/>
  <c r="C33" i="67"/>
  <c r="D8" i="71"/>
  <c r="C7" i="71"/>
  <c r="T16" i="1"/>
  <c r="C36" i="11"/>
  <c r="C37" i="11"/>
  <c r="C34" i="11"/>
  <c r="H19" i="6"/>
  <c r="S19" i="6"/>
  <c r="S27" i="6"/>
  <c r="I27" i="6"/>
  <c r="C19" i="69"/>
  <c r="I5" i="6"/>
  <c r="I6" i="6"/>
  <c r="D9" i="71"/>
  <c r="I63" i="40"/>
  <c r="H65" i="40"/>
  <c r="I58" i="21"/>
  <c r="J58" i="21"/>
  <c r="K58" i="21"/>
  <c r="D7" i="71"/>
  <c r="C6" i="71"/>
  <c r="C38" i="11"/>
  <c r="C35" i="11"/>
  <c r="C33" i="11"/>
  <c r="C39" i="11"/>
  <c r="H27" i="6"/>
  <c r="R19" i="6"/>
  <c r="J63" i="40"/>
  <c r="I65" i="40"/>
  <c r="D6" i="71"/>
  <c r="C5" i="71"/>
  <c r="C61" i="67"/>
  <c r="R27" i="6"/>
  <c r="R6" i="1"/>
  <c r="J65" i="40"/>
  <c r="K63" i="40"/>
  <c r="D5" i="71"/>
  <c r="M24" i="43"/>
  <c r="C34" i="67"/>
  <c r="C62" i="67"/>
  <c r="C62" i="15"/>
  <c r="C34" i="15"/>
  <c r="K65" i="40"/>
  <c r="L63" i="40"/>
  <c r="C61" i="15"/>
  <c r="M63" i="40"/>
  <c r="L65" i="40"/>
  <c r="L46" i="67"/>
  <c r="N63" i="40"/>
  <c r="M65" i="40"/>
  <c r="B2" i="33"/>
  <c r="B3" i="33"/>
  <c r="O63" i="40"/>
  <c r="O65" i="40"/>
  <c r="N65" i="40"/>
  <c r="B2" i="36"/>
  <c r="B3" i="36"/>
  <c r="B2" i="35"/>
  <c r="B3" i="35"/>
  <c r="B2" i="37"/>
  <c r="B3" i="37"/>
  <c r="B2" i="34"/>
  <c r="B3" i="34"/>
  <c r="B6" i="74"/>
  <c r="D6" i="74"/>
  <c r="AC37" i="21"/>
  <c r="AB41" i="21"/>
  <c r="AB36" i="21"/>
  <c r="AC34" i="21"/>
  <c r="S34" i="21"/>
  <c r="J26" i="21"/>
  <c r="F89" i="21"/>
  <c r="AC32" i="21"/>
  <c r="U43" i="21"/>
  <c r="W42" i="21"/>
  <c r="S42" i="21"/>
  <c r="AB15" i="21"/>
  <c r="AA23" i="21"/>
  <c r="U21" i="21"/>
  <c r="W17" i="21"/>
  <c r="U17" i="21"/>
  <c r="AA15" i="21"/>
  <c r="C46" i="11"/>
  <c r="C45" i="11"/>
  <c r="J7" i="40"/>
  <c r="H7" i="40"/>
  <c r="F7" i="40"/>
  <c r="L58" i="21"/>
  <c r="M58" i="21"/>
  <c r="N58" i="21"/>
  <c r="O58" i="21"/>
  <c r="F7" i="21"/>
  <c r="I52" i="37"/>
  <c r="J52" i="37"/>
  <c r="K52" i="37"/>
  <c r="L52" i="37"/>
  <c r="M52" i="37"/>
  <c r="N52" i="37"/>
  <c r="O52" i="37"/>
  <c r="J7" i="37"/>
  <c r="H7" i="37"/>
  <c r="F7" i="37"/>
  <c r="I48" i="35"/>
  <c r="J48" i="35"/>
  <c r="K48" i="35"/>
  <c r="L48" i="35"/>
  <c r="M48" i="35"/>
  <c r="N48" i="35"/>
  <c r="O48" i="35"/>
  <c r="J7" i="35"/>
  <c r="F7" i="35"/>
  <c r="H7" i="35"/>
  <c r="S10" i="40"/>
  <c r="AA10" i="40"/>
  <c r="AC10" i="40"/>
  <c r="W10" i="40"/>
  <c r="F58" i="33"/>
  <c r="E59" i="34"/>
  <c r="D69" i="39"/>
  <c r="E67" i="39"/>
  <c r="D46" i="36"/>
  <c r="D19" i="68"/>
  <c r="C12" i="12"/>
  <c r="B29" i="1"/>
  <c r="F45" i="69"/>
  <c r="C35" i="68"/>
  <c r="C29" i="68"/>
  <c r="D27"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89" i="21"/>
  <c r="H89" i="21"/>
  <c r="I89" i="21"/>
  <c r="J89" i="21"/>
  <c r="K89" i="21"/>
  <c r="L89" i="21"/>
  <c r="M89" i="21"/>
  <c r="H26" i="21"/>
  <c r="AC26" i="21"/>
  <c r="W26" i="21"/>
  <c r="E69" i="39"/>
  <c r="F67" i="39"/>
  <c r="E46" i="36"/>
  <c r="F59" i="34"/>
  <c r="G58" i="33"/>
  <c r="S7" i="35"/>
  <c r="AA7" i="35"/>
  <c r="R38" i="35"/>
  <c r="AB7" i="37"/>
  <c r="T42" i="37"/>
  <c r="G42" i="37"/>
  <c r="U7" i="37"/>
  <c r="H7" i="21"/>
  <c r="J7" i="21"/>
  <c r="U7" i="40"/>
  <c r="AB7" i="40"/>
  <c r="T42" i="40"/>
  <c r="G42" i="40"/>
  <c r="AB7" i="35"/>
  <c r="T38" i="35"/>
  <c r="G38" i="35"/>
  <c r="U7" i="35"/>
  <c r="AC7" i="35"/>
  <c r="V38" i="35"/>
  <c r="I38" i="35"/>
  <c r="W7" i="35"/>
  <c r="AA7" i="37"/>
  <c r="R42" i="37"/>
  <c r="S7" i="37"/>
  <c r="W7" i="37"/>
  <c r="AC7" i="37"/>
  <c r="V42" i="37"/>
  <c r="I42" i="37"/>
  <c r="S7" i="21"/>
  <c r="AA7" i="21"/>
  <c r="AA7" i="40"/>
  <c r="R42" i="40"/>
  <c r="S7" i="40"/>
  <c r="W7" i="40"/>
  <c r="AC7" i="40"/>
  <c r="V42" i="40"/>
  <c r="I42" i="40"/>
  <c r="AB26" i="21"/>
  <c r="U26" i="21"/>
  <c r="AC7" i="21"/>
  <c r="W7" i="21"/>
  <c r="E38" i="35"/>
  <c r="R39" i="35"/>
  <c r="I46" i="40"/>
  <c r="J46" i="40"/>
  <c r="E42" i="40"/>
  <c r="I47" i="40"/>
  <c r="J47" i="40"/>
  <c r="I46" i="37"/>
  <c r="J46" i="37"/>
  <c r="AB7" i="21"/>
  <c r="U7" i="21"/>
  <c r="G46" i="37"/>
  <c r="H46" i="37"/>
  <c r="G47" i="37"/>
  <c r="H47" i="37"/>
  <c r="G59" i="34"/>
  <c r="F46" i="36"/>
  <c r="F69" i="39"/>
  <c r="G67" i="39"/>
  <c r="R43" i="40"/>
  <c r="E42" i="37"/>
  <c r="I47" i="37"/>
  <c r="J47" i="37"/>
  <c r="R43" i="37"/>
  <c r="I42" i="35"/>
  <c r="J42" i="35"/>
  <c r="I43" i="35"/>
  <c r="J43" i="35"/>
  <c r="G42" i="35"/>
  <c r="H42" i="35"/>
  <c r="G43" i="35"/>
  <c r="H43" i="35"/>
  <c r="G47" i="40"/>
  <c r="H47" i="40"/>
  <c r="G46" i="40"/>
  <c r="H46" i="40"/>
  <c r="H58" i="33"/>
  <c r="C43" i="37"/>
  <c r="C42" i="37"/>
  <c r="E47" i="40"/>
  <c r="F47" i="40"/>
  <c r="E46" i="40"/>
  <c r="F46" i="40"/>
  <c r="G69" i="39"/>
  <c r="H67" i="39"/>
  <c r="G46" i="36"/>
  <c r="H59" i="34"/>
  <c r="E43" i="35"/>
  <c r="F43" i="35"/>
  <c r="E42" i="35"/>
  <c r="F42" i="35"/>
  <c r="I58" i="33"/>
  <c r="J58" i="33"/>
  <c r="K58" i="33"/>
  <c r="L58" i="33"/>
  <c r="M58" i="33"/>
  <c r="N58" i="33"/>
  <c r="O58" i="33"/>
  <c r="F7" i="33"/>
  <c r="E47" i="37"/>
  <c r="F47" i="37"/>
  <c r="E46" i="37"/>
  <c r="F46" i="37"/>
  <c r="C42" i="40"/>
  <c r="C43" i="40"/>
  <c r="C39" i="35"/>
  <c r="C38" i="35"/>
  <c r="H7" i="33"/>
  <c r="H46" i="36"/>
  <c r="J7" i="33"/>
  <c r="U7" i="33"/>
  <c r="AB7" i="33"/>
  <c r="T48" i="33"/>
  <c r="G48" i="33"/>
  <c r="B58" i="40"/>
  <c r="F58" i="40"/>
  <c r="B54" i="40"/>
  <c r="F54" i="40"/>
  <c r="B53" i="40"/>
  <c r="F53" i="40"/>
  <c r="B59" i="40"/>
  <c r="F59" i="40"/>
  <c r="B52" i="40"/>
  <c r="F52" i="40"/>
  <c r="B56" i="40"/>
  <c r="F56" i="40"/>
  <c r="B60" i="40"/>
  <c r="F60" i="40"/>
  <c r="B57" i="40"/>
  <c r="F57" i="40"/>
  <c r="B51" i="40"/>
  <c r="F51" i="40"/>
  <c r="F61" i="40"/>
  <c r="B2" i="40"/>
  <c r="B3" i="40"/>
  <c r="S7" i="33"/>
  <c r="AA7" i="33"/>
  <c r="R48" i="33"/>
  <c r="I59" i="34"/>
  <c r="I67" i="39"/>
  <c r="H69" i="39"/>
  <c r="J67" i="39"/>
  <c r="I69" i="39"/>
  <c r="J59" i="34"/>
  <c r="R49" i="33"/>
  <c r="E48" i="33"/>
  <c r="G52" i="33"/>
  <c r="H52" i="33"/>
  <c r="AC7" i="33"/>
  <c r="V48" i="33"/>
  <c r="I48" i="33"/>
  <c r="G53" i="33"/>
  <c r="H53" i="33"/>
  <c r="W7" i="33"/>
  <c r="I46" i="36"/>
  <c r="E53" i="33"/>
  <c r="F53" i="33"/>
  <c r="E52" i="33"/>
  <c r="F52" i="33"/>
  <c r="K59" i="34"/>
  <c r="K67" i="39"/>
  <c r="J69" i="39"/>
  <c r="J46" i="36"/>
  <c r="I53" i="33"/>
  <c r="J53" i="33"/>
  <c r="I52" i="33"/>
  <c r="J52" i="33"/>
  <c r="C49" i="33"/>
  <c r="C48" i="33"/>
  <c r="L59" i="34"/>
  <c r="M59" i="34"/>
  <c r="N59" i="34"/>
  <c r="O59" i="34"/>
  <c r="H7" i="34"/>
  <c r="K46" i="36"/>
  <c r="K69" i="39"/>
  <c r="L67" i="39"/>
  <c r="F7" i="34"/>
  <c r="J7" i="34"/>
  <c r="S7" i="34"/>
  <c r="AA7" i="34"/>
  <c r="R49" i="34"/>
  <c r="L69" i="39"/>
  <c r="M67" i="39"/>
  <c r="W7" i="34"/>
  <c r="AC7" i="34"/>
  <c r="V49" i="34"/>
  <c r="I49" i="34"/>
  <c r="L46" i="36"/>
  <c r="AB7" i="34"/>
  <c r="T49" i="34"/>
  <c r="G49" i="34"/>
  <c r="U7" i="34"/>
  <c r="G53" i="34"/>
  <c r="H53" i="34"/>
  <c r="G54" i="34"/>
  <c r="H54" i="34"/>
  <c r="M46" i="36"/>
  <c r="N46" i="36"/>
  <c r="O46" i="36"/>
  <c r="F7" i="36"/>
  <c r="I53" i="34"/>
  <c r="J53" i="34"/>
  <c r="N67" i="39"/>
  <c r="M69" i="39"/>
  <c r="E49" i="34"/>
  <c r="I54" i="34"/>
  <c r="J54" i="34"/>
  <c r="R50" i="34"/>
  <c r="C50" i="34"/>
  <c r="C49" i="34"/>
  <c r="S7" i="36"/>
  <c r="AA7" i="36"/>
  <c r="R36" i="36"/>
  <c r="E54" i="34"/>
  <c r="F54" i="34"/>
  <c r="E53" i="34"/>
  <c r="F53" i="34"/>
  <c r="O67" i="39"/>
  <c r="O69" i="39"/>
  <c r="N69" i="39"/>
  <c r="H7" i="36"/>
  <c r="J7" i="36"/>
  <c r="W7" i="36"/>
  <c r="AC7" i="36"/>
  <c r="V36" i="36"/>
  <c r="I36" i="36"/>
  <c r="E36" i="36"/>
  <c r="R37" i="36"/>
  <c r="U7" i="36"/>
  <c r="AB7" i="36"/>
  <c r="T36" i="36"/>
  <c r="G36" i="36"/>
  <c r="J7" i="39"/>
  <c r="H7" i="39"/>
  <c r="F7" i="39"/>
  <c r="U7" i="39"/>
  <c r="AB7" i="39"/>
  <c r="T47" i="39"/>
  <c r="G47" i="39"/>
  <c r="G40" i="36"/>
  <c r="H40" i="36"/>
  <c r="G41" i="36"/>
  <c r="H41" i="36"/>
  <c r="C36" i="36"/>
  <c r="C37" i="36"/>
  <c r="I40" i="36"/>
  <c r="J40" i="36"/>
  <c r="I41" i="36"/>
  <c r="J41" i="36"/>
  <c r="S7" i="39"/>
  <c r="AA7" i="39"/>
  <c r="R47" i="39"/>
  <c r="W7" i="39"/>
  <c r="AC7" i="39"/>
  <c r="V47" i="39"/>
  <c r="I47" i="39"/>
  <c r="E40" i="36"/>
  <c r="F40" i="36"/>
  <c r="E41" i="36"/>
  <c r="F41" i="36"/>
  <c r="I51" i="39"/>
  <c r="J51" i="39"/>
  <c r="E47" i="39"/>
  <c r="R48" i="39"/>
  <c r="G51" i="39"/>
  <c r="H51" i="39"/>
  <c r="G52" i="39"/>
  <c r="H52" i="39"/>
  <c r="E52" i="39"/>
  <c r="F52" i="39"/>
  <c r="E51" i="39"/>
  <c r="F51" i="39"/>
  <c r="C48" i="39"/>
  <c r="C47" i="39"/>
  <c r="I52" i="39"/>
  <c r="J52" i="39"/>
  <c r="B63" i="39"/>
  <c r="F63" i="39"/>
  <c r="B64" i="39"/>
  <c r="F64" i="39"/>
  <c r="B60" i="39"/>
  <c r="F60" i="39"/>
  <c r="B61" i="39"/>
  <c r="F61" i="39"/>
  <c r="B57" i="39"/>
  <c r="F57" i="39"/>
  <c r="B58" i="39"/>
  <c r="F58" i="39"/>
  <c r="B62" i="39"/>
  <c r="F62" i="39"/>
  <c r="B59" i="39"/>
  <c r="F59" i="39"/>
  <c r="B56" i="39"/>
  <c r="F56" i="39"/>
  <c r="F65" i="39"/>
  <c r="B2" i="39"/>
  <c r="B3" i="39"/>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C23" i="43"/>
  <c r="C33" i="43"/>
  <c r="C6" i="69"/>
  <c r="C7" i="69"/>
  <c r="E33" i="43"/>
  <c r="C37" i="43"/>
  <c r="E37" i="43"/>
  <c r="C38" i="43"/>
  <c r="E38" i="43"/>
  <c r="C39" i="43"/>
  <c r="E39" i="43"/>
  <c r="C40" i="43"/>
  <c r="E40" i="43"/>
  <c r="C41" i="43"/>
  <c r="E41" i="43"/>
  <c r="C42" i="43"/>
  <c r="E42" i="43"/>
  <c r="C30" i="43"/>
  <c r="B2" i="43"/>
  <c r="B3" i="43"/>
  <c r="C34" i="43"/>
  <c r="E34" i="43"/>
  <c r="G37" i="43"/>
  <c r="I37" i="43"/>
  <c r="G38" i="43"/>
  <c r="I38" i="43"/>
  <c r="G39" i="43"/>
  <c r="I39" i="43"/>
  <c r="G40" i="43"/>
  <c r="I40" i="43"/>
  <c r="G41" i="43"/>
  <c r="I41" i="43"/>
  <c r="G42" i="43"/>
  <c r="I42" i="43"/>
  <c r="C31" i="43"/>
  <c r="T4" i="43"/>
  <c r="V4" i="43"/>
  <c r="T15" i="43"/>
  <c r="V15" i="43"/>
  <c r="T5" i="43"/>
  <c r="V5" i="43"/>
  <c r="T2" i="43"/>
  <c r="V2" i="43"/>
  <c r="T10" i="43"/>
  <c r="V10" i="43"/>
  <c r="T14" i="43"/>
  <c r="V14" i="43"/>
  <c r="T7" i="43"/>
  <c r="V7" i="43"/>
  <c r="T11" i="43"/>
  <c r="V11" i="43"/>
  <c r="T6" i="43"/>
  <c r="V6" i="43"/>
  <c r="T3" i="43"/>
  <c r="V3" i="43"/>
  <c r="T8" i="43"/>
  <c r="V8" i="43"/>
  <c r="T12" i="43"/>
  <c r="V12" i="43"/>
  <c r="T16" i="43"/>
  <c r="V16" i="43"/>
  <c r="T9" i="43"/>
  <c r="V9" i="43"/>
  <c r="T13" i="43"/>
  <c r="V13" i="43"/>
  <c r="D5" i="73"/>
  <c r="D35" i="9"/>
  <c r="B9" i="76"/>
  <c r="F40" i="15"/>
  <c r="F43" i="67"/>
  <c r="M9" i="67"/>
  <c r="M6" i="67"/>
  <c r="G1" i="73"/>
  <c r="F26" i="67"/>
  <c r="E9" i="76"/>
  <c r="F38" i="15"/>
  <c r="F38" i="67"/>
  <c r="B12" i="76"/>
  <c r="M22" i="67"/>
  <c r="C76" i="15"/>
  <c r="E10" i="76"/>
  <c r="M22" i="15"/>
  <c r="M28" i="15"/>
  <c r="M28" i="67"/>
  <c r="B11" i="76"/>
  <c r="M21" i="67"/>
  <c r="F7" i="73"/>
  <c r="D6" i="73"/>
  <c r="C76" i="67"/>
  <c r="AO7" i="1"/>
  <c r="AO10" i="1"/>
  <c r="D2" i="35"/>
  <c r="AO9" i="1"/>
  <c r="B10" i="76"/>
  <c r="M8" i="67"/>
  <c r="F13" i="15"/>
  <c r="F6" i="67"/>
  <c r="F40" i="67"/>
  <c r="L47" i="15"/>
  <c r="C14" i="15"/>
  <c r="F16" i="67"/>
  <c r="F37" i="15"/>
  <c r="F16" i="15"/>
  <c r="F7" i="67"/>
  <c r="D3" i="73"/>
  <c r="M29" i="67"/>
  <c r="F5" i="73"/>
  <c r="J15" i="15"/>
  <c r="D34" i="9"/>
  <c r="M21" i="15"/>
  <c r="M26" i="67"/>
  <c r="E11" i="76"/>
  <c r="M27" i="15"/>
  <c r="F20" i="31"/>
  <c r="E8" i="76"/>
  <c r="AO12" i="1"/>
  <c r="AO11" i="1"/>
  <c r="L48" i="15"/>
  <c r="F8" i="67"/>
  <c r="F36" i="15"/>
  <c r="F13" i="67"/>
  <c r="F4" i="73"/>
  <c r="E7" i="76"/>
  <c r="M9" i="15"/>
  <c r="F6" i="73"/>
  <c r="E2" i="68"/>
  <c r="F35" i="67"/>
  <c r="J15" i="67"/>
  <c r="D2" i="34"/>
  <c r="M23" i="67"/>
  <c r="D2" i="37"/>
  <c r="D2" i="33"/>
  <c r="E13" i="76"/>
  <c r="F41" i="15"/>
  <c r="F37" i="67"/>
  <c r="F26" i="15"/>
  <c r="F9" i="67"/>
  <c r="F42" i="67"/>
  <c r="AO13" i="1"/>
  <c r="M29" i="15"/>
  <c r="M24" i="67"/>
  <c r="D4" i="73"/>
  <c r="M24" i="15"/>
  <c r="F35" i="15"/>
  <c r="F43" i="15"/>
  <c r="F9" i="15"/>
  <c r="L47" i="67"/>
  <c r="D7" i="73"/>
  <c r="E2" i="69"/>
  <c r="AO8" i="1"/>
  <c r="F8" i="15"/>
  <c r="F6" i="15"/>
  <c r="F42" i="15"/>
  <c r="M23" i="15"/>
  <c r="B8" i="76"/>
  <c r="E12" i="76"/>
  <c r="B6" i="76"/>
  <c r="M6" i="15"/>
  <c r="M8" i="15"/>
  <c r="B7" i="76"/>
  <c r="F3" i="73"/>
  <c r="B13" i="76"/>
  <c r="D2" i="36"/>
  <c r="F7" i="15"/>
  <c r="F36" i="67"/>
  <c r="L48" i="67"/>
  <c r="M26" i="15"/>
  <c r="M27" i="67"/>
  <c r="D2" i="21"/>
  <c r="E6" i="76"/>
  <c r="C18" i="12" l="1"/>
  <c r="C47" i="68"/>
  <c r="D45" i="68" s="1"/>
  <c r="C38" i="69"/>
  <c r="W33" i="21"/>
  <c r="S33" i="21"/>
  <c r="D19" i="69"/>
  <c r="D37" i="69" s="1"/>
  <c r="C37" i="69" s="1"/>
  <c r="G52" i="21"/>
  <c r="H52" i="21" s="1"/>
  <c r="G53" i="21"/>
  <c r="H53" i="21" s="1"/>
  <c r="I52" i="21"/>
  <c r="J52" i="21" s="1"/>
  <c r="E48" i="21"/>
  <c r="I53" i="21" s="1"/>
  <c r="J53" i="21" s="1"/>
  <c r="R49" i="21"/>
  <c r="C8" i="68"/>
  <c r="C5" i="68" s="1"/>
  <c r="C14" i="12"/>
  <c r="C16" i="12" s="1"/>
  <c r="C21" i="12" s="1"/>
  <c r="C22" i="12" s="1"/>
  <c r="C30" i="12" s="1"/>
  <c r="C28" i="12" s="1"/>
  <c r="R16" i="1"/>
  <c r="C20" i="69"/>
  <c r="C28" i="69" s="1"/>
  <c r="C27" i="69" s="1"/>
  <c r="E2" i="76"/>
  <c r="J59" i="67"/>
  <c r="J60" i="67"/>
  <c r="Q48" i="67" s="1"/>
  <c r="L60" i="67"/>
  <c r="J53" i="67"/>
  <c r="J57" i="67"/>
  <c r="J55" i="67" s="1"/>
  <c r="J58" i="67" s="1"/>
  <c r="Q50" i="67" s="1"/>
  <c r="L56" i="67"/>
  <c r="F64" i="67"/>
  <c r="M7" i="15"/>
  <c r="J6" i="15" s="1"/>
  <c r="F50" i="15"/>
  <c r="M17" i="15"/>
  <c r="B2" i="76"/>
  <c r="C6" i="15"/>
  <c r="F31" i="15"/>
  <c r="F51" i="15"/>
  <c r="B8" i="70"/>
  <c r="L59" i="67"/>
  <c r="N59" i="67"/>
  <c r="L58" i="67"/>
  <c r="M59" i="67"/>
  <c r="F71" i="15"/>
  <c r="F63" i="15"/>
  <c r="B13" i="70"/>
  <c r="C27" i="15"/>
  <c r="F65" i="67"/>
  <c r="F69" i="15"/>
  <c r="F63" i="67"/>
  <c r="I1" i="73"/>
  <c r="B39" i="1" s="1"/>
  <c r="F64" i="15"/>
  <c r="F51" i="67"/>
  <c r="J57" i="15"/>
  <c r="J55" i="15" s="1"/>
  <c r="J58" i="15" s="1"/>
  <c r="Q50" i="15" s="1"/>
  <c r="J53" i="15"/>
  <c r="I54" i="15"/>
  <c r="L56" i="15"/>
  <c r="B11" i="70"/>
  <c r="B12" i="70"/>
  <c r="B20" i="31"/>
  <c r="B21" i="31" s="1"/>
  <c r="J20" i="15"/>
  <c r="M7" i="67"/>
  <c r="M17" i="67" s="1"/>
  <c r="F50" i="67"/>
  <c r="F59" i="67" s="1"/>
  <c r="F65" i="15"/>
  <c r="C15" i="15"/>
  <c r="C18" i="15"/>
  <c r="M59" i="15"/>
  <c r="L58" i="15"/>
  <c r="N59" i="15"/>
  <c r="L59" i="15"/>
  <c r="F68" i="67"/>
  <c r="C6" i="67"/>
  <c r="F31" i="67"/>
  <c r="B9" i="70"/>
  <c r="M3" i="35"/>
  <c r="B10" i="70"/>
  <c r="B7" i="70"/>
  <c r="Q71" i="67"/>
  <c r="J20" i="67"/>
  <c r="Q71" i="15"/>
  <c r="F66" i="67"/>
  <c r="F66" i="15"/>
  <c r="C27" i="67"/>
  <c r="B40" i="1"/>
  <c r="F71" i="67"/>
  <c r="F68" i="15"/>
  <c r="C19" i="68"/>
  <c r="D37" i="68"/>
  <c r="C37" i="68" s="1"/>
  <c r="C33" i="68" s="1"/>
  <c r="C16" i="15"/>
  <c r="C16" i="67"/>
  <c r="C17" i="67"/>
  <c r="C17" i="15"/>
  <c r="C14" i="67"/>
  <c r="C33" i="69" l="1"/>
  <c r="C39" i="69" s="1"/>
  <c r="C46" i="69" s="1"/>
  <c r="C45" i="69" s="1"/>
  <c r="J6" i="67"/>
  <c r="J18" i="67" s="1"/>
  <c r="B3" i="76"/>
  <c r="C49" i="21"/>
  <c r="C48" i="21"/>
  <c r="E52" i="21"/>
  <c r="F52" i="21" s="1"/>
  <c r="E53" i="21"/>
  <c r="F53" i="21" s="1"/>
  <c r="C49" i="15"/>
  <c r="C15" i="67"/>
  <c r="C18" i="67"/>
  <c r="C19" i="67" s="1"/>
  <c r="C19" i="15"/>
  <c r="C39" i="68"/>
  <c r="C46" i="68" s="1"/>
  <c r="C45" i="68" s="1"/>
  <c r="J17" i="15"/>
  <c r="J18" i="15"/>
  <c r="J19" i="15"/>
  <c r="Q57" i="67"/>
  <c r="Q66" i="67"/>
  <c r="C20" i="68"/>
  <c r="J19" i="67"/>
  <c r="J17" i="67"/>
  <c r="F22" i="68"/>
  <c r="C42" i="68" s="1"/>
  <c r="F22" i="11"/>
  <c r="F24" i="15"/>
  <c r="C24" i="15" s="1"/>
  <c r="F22" i="69"/>
  <c r="F24" i="67"/>
  <c r="C24" i="67" s="1"/>
  <c r="F25" i="12"/>
  <c r="L36" i="43"/>
  <c r="C31" i="67"/>
  <c r="Q61" i="15"/>
  <c r="Q74" i="15"/>
  <c r="Q73" i="15"/>
  <c r="Q60" i="15"/>
  <c r="Q52" i="15"/>
  <c r="F1" i="15"/>
  <c r="C49" i="67"/>
  <c r="M11" i="67"/>
  <c r="J10" i="67" s="1"/>
  <c r="J5" i="67" s="1"/>
  <c r="F11" i="15"/>
  <c r="M11" i="15"/>
  <c r="J10" i="15" s="1"/>
  <c r="J5" i="15" s="1"/>
  <c r="F11" i="67"/>
  <c r="C53" i="67" s="1"/>
  <c r="Q73" i="67"/>
  <c r="Q60" i="67"/>
  <c r="Q74" i="67"/>
  <c r="Q61" i="67"/>
  <c r="C31" i="15"/>
  <c r="F59" i="15"/>
  <c r="C59" i="15" s="1"/>
  <c r="F1" i="67"/>
  <c r="Q52" i="67"/>
  <c r="AE6" i="1"/>
  <c r="F41" i="67" s="1"/>
  <c r="B2" i="21" l="1"/>
  <c r="B3" i="21"/>
  <c r="F69" i="67"/>
  <c r="J26" i="15"/>
  <c r="J29" i="15" s="1"/>
  <c r="J24" i="15"/>
  <c r="J26" i="67"/>
  <c r="J29" i="67" s="1"/>
  <c r="J24" i="67"/>
  <c r="C10" i="67"/>
  <c r="C5" i="67" s="1"/>
  <c r="C26" i="12"/>
  <c r="D25" i="12" s="1"/>
  <c r="C27" i="12"/>
  <c r="C25" i="12" s="1"/>
  <c r="C26" i="69"/>
  <c r="D22" i="69" s="1"/>
  <c r="F41" i="69"/>
  <c r="C42" i="69"/>
  <c r="C23" i="69"/>
  <c r="C24" i="69"/>
  <c r="C44" i="69"/>
  <c r="D41" i="69" s="1"/>
  <c r="C43" i="69"/>
  <c r="C25" i="69"/>
  <c r="C44" i="11"/>
  <c r="D41" i="11" s="1"/>
  <c r="C23" i="11"/>
  <c r="C42" i="11"/>
  <c r="C24" i="11"/>
  <c r="C25" i="11"/>
  <c r="C26" i="11"/>
  <c r="D22" i="11" s="1"/>
  <c r="C43" i="11"/>
  <c r="C25" i="68"/>
  <c r="C28" i="68"/>
  <c r="C27" i="68" s="1"/>
  <c r="C20" i="15"/>
  <c r="C23" i="15" s="1"/>
  <c r="C10" i="15"/>
  <c r="C5" i="15" s="1"/>
  <c r="C53" i="15"/>
  <c r="C48" i="15" s="1"/>
  <c r="C48" i="67"/>
  <c r="C59" i="67"/>
  <c r="Q36" i="43"/>
  <c r="N36" i="43"/>
  <c r="O36" i="43"/>
  <c r="P36" i="43"/>
  <c r="M36" i="43"/>
  <c r="L37" i="43"/>
  <c r="C23" i="68"/>
  <c r="C26" i="68"/>
  <c r="D22" i="68" s="1"/>
  <c r="C44" i="68"/>
  <c r="D41" i="68" s="1"/>
  <c r="F41" i="68"/>
  <c r="C24" i="68"/>
  <c r="C43" i="68"/>
  <c r="C41" i="68" s="1"/>
  <c r="C20" i="67"/>
  <c r="C26" i="67" s="1"/>
  <c r="C19" i="9"/>
  <c r="C20" i="9"/>
  <c r="C23" i="67" l="1"/>
  <c r="C29" i="67" s="1"/>
  <c r="C13" i="67" s="1"/>
  <c r="C49" i="68"/>
  <c r="C51" i="68" s="1"/>
  <c r="C26" i="15"/>
  <c r="C103" i="9"/>
  <c r="C102" i="9"/>
  <c r="C21" i="9"/>
  <c r="C29" i="15"/>
  <c r="J14" i="15" s="1"/>
  <c r="C36" i="67"/>
  <c r="C22" i="68"/>
  <c r="C31" i="68" s="1"/>
  <c r="C52" i="68" s="1"/>
  <c r="B2" i="68" s="1"/>
  <c r="B3" i="68" s="1"/>
  <c r="C66" i="67"/>
  <c r="C38" i="15"/>
  <c r="C22" i="11"/>
  <c r="C31" i="11" s="1"/>
  <c r="C22" i="69"/>
  <c r="C31" i="69" s="1"/>
  <c r="C32" i="12"/>
  <c r="B2" i="12" s="1"/>
  <c r="B3" i="12" s="1"/>
  <c r="P37" i="43"/>
  <c r="N37" i="43"/>
  <c r="M37" i="43"/>
  <c r="Q37" i="43"/>
  <c r="O37" i="43"/>
  <c r="C66" i="15"/>
  <c r="C41" i="11"/>
  <c r="C49" i="11" s="1"/>
  <c r="C51" i="11" s="1"/>
  <c r="C41" i="69"/>
  <c r="C49" i="69" s="1"/>
  <c r="C51" i="69" s="1"/>
  <c r="C38" i="67"/>
  <c r="C36" i="15" l="1"/>
  <c r="C57" i="67"/>
  <c r="C64" i="67" s="1"/>
  <c r="C57" i="15"/>
  <c r="C64" i="15" s="1"/>
  <c r="Q49" i="67"/>
  <c r="J14" i="67"/>
  <c r="J22" i="67" s="1"/>
  <c r="C13" i="15"/>
  <c r="C56" i="15" s="1"/>
  <c r="C65" i="15" s="1"/>
  <c r="J59" i="15"/>
  <c r="J60" i="15" s="1"/>
  <c r="L46" i="15" s="1"/>
  <c r="Q49" i="15"/>
  <c r="C52" i="69"/>
  <c r="B2" i="69" s="1"/>
  <c r="C57" i="68"/>
  <c r="C56" i="68" s="1"/>
  <c r="C75" i="15"/>
  <c r="C52" i="11"/>
  <c r="B2" i="11" s="1"/>
  <c r="B3" i="11" s="1"/>
  <c r="J13" i="15"/>
  <c r="J23" i="15" s="1"/>
  <c r="J22" i="15"/>
  <c r="C56" i="67"/>
  <c r="C65" i="67" s="1"/>
  <c r="C58" i="67" s="1"/>
  <c r="C67" i="67" s="1"/>
  <c r="C68" i="67" s="1"/>
  <c r="Q70" i="67"/>
  <c r="C37" i="67"/>
  <c r="C30" i="67" s="1"/>
  <c r="C39" i="67" s="1"/>
  <c r="C75" i="67"/>
  <c r="D19" i="9"/>
  <c r="J13" i="67" l="1"/>
  <c r="J23" i="67" s="1"/>
  <c r="Q48" i="15"/>
  <c r="C37" i="15"/>
  <c r="C30" i="15" s="1"/>
  <c r="C39" i="15" s="1"/>
  <c r="C40" i="15" s="1"/>
  <c r="C58" i="15"/>
  <c r="C67" i="15" s="1"/>
  <c r="C68" i="15" s="1"/>
  <c r="Q70" i="15"/>
  <c r="J16" i="67"/>
  <c r="J25" i="67" s="1"/>
  <c r="D21" i="9"/>
  <c r="D102" i="9"/>
  <c r="G19" i="9"/>
  <c r="G21" i="9" s="1"/>
  <c r="D22" i="9"/>
  <c r="C71" i="15"/>
  <c r="Q69" i="67"/>
  <c r="Q68" i="67" s="1"/>
  <c r="C40" i="67"/>
  <c r="J16" i="15"/>
  <c r="J25" i="15" s="1"/>
  <c r="C56" i="11"/>
  <c r="C57" i="11" s="1"/>
  <c r="C80" i="15"/>
  <c r="C79" i="15" s="1"/>
  <c r="C80" i="67"/>
  <c r="C79" i="67" s="1"/>
  <c r="C45" i="67"/>
  <c r="C46" i="67" s="1"/>
  <c r="C71" i="67"/>
  <c r="B3" i="69"/>
  <c r="C57" i="69"/>
  <c r="C56" i="69" s="1"/>
  <c r="D20" i="9"/>
  <c r="L51" i="67"/>
  <c r="L51" i="15"/>
  <c r="Q69" i="15" l="1"/>
  <c r="Q68" i="15" s="1"/>
  <c r="Q67" i="15"/>
  <c r="L57" i="15"/>
  <c r="L60" i="15" s="1"/>
  <c r="Q67" i="67"/>
  <c r="L57" i="67"/>
  <c r="D103" i="9"/>
  <c r="G20" i="9"/>
  <c r="B2" i="15"/>
  <c r="B3" i="15" s="1"/>
  <c r="Q65" i="15"/>
  <c r="Q56" i="15"/>
  <c r="Q47" i="15"/>
  <c r="Q53" i="15" s="1"/>
  <c r="C43" i="15"/>
  <c r="C83" i="15"/>
  <c r="C82" i="15" s="1"/>
  <c r="D2" i="67"/>
  <c r="Q65" i="67"/>
  <c r="Q75" i="67" s="1"/>
  <c r="Q56" i="67"/>
  <c r="Q62" i="67" s="1"/>
  <c r="Q47" i="67"/>
  <c r="Q53" i="67" s="1"/>
  <c r="C43" i="67"/>
  <c r="C83" i="67"/>
  <c r="C82" i="67" s="1"/>
  <c r="C46" i="15"/>
  <c r="C32" i="9" l="1"/>
  <c r="E14" i="74"/>
  <c r="D14" i="74" s="1"/>
  <c r="Q57" i="15"/>
  <c r="Q62" i="15" s="1"/>
  <c r="Q66" i="15"/>
  <c r="Q75" i="15" s="1"/>
  <c r="B2" i="67"/>
  <c r="B3" i="67"/>
  <c r="AO6" i="1"/>
  <c r="B6" i="70" l="1"/>
  <c r="B2" i="70" s="1"/>
  <c r="B3" i="70" s="1"/>
  <c r="F14" i="74"/>
  <c r="B5" i="74"/>
  <c r="C35" i="9"/>
  <c r="C34" i="9" s="1"/>
  <c r="D5" i="74" l="1"/>
  <c r="D52" i="9" l="1"/>
  <c r="D53" i="9"/>
  <c r="I4" i="52"/>
  <c r="C105" i="9"/>
  <c r="N58" i="9"/>
  <c r="P57" i="9"/>
  <c r="H4" i="52"/>
  <c r="C104" i="9"/>
  <c r="B21" i="72"/>
  <c r="D8" i="52"/>
  <c r="C6" i="74"/>
  <c r="B47" i="72"/>
  <c r="N60" i="9"/>
  <c r="N59" i="9"/>
  <c r="N61" i="9"/>
  <c r="B22" i="72"/>
  <c r="D4" i="52"/>
  <c r="C81" i="9"/>
  <c r="C93" i="9"/>
  <c r="C86" i="9"/>
  <c r="M54" i="9"/>
  <c r="E81" i="9"/>
  <c r="M48" i="9"/>
  <c r="B30" i="72"/>
  <c r="B53" i="72"/>
  <c r="C5" i="74"/>
  <c r="H102" i="9"/>
  <c r="D7" i="53"/>
  <c r="B51" i="72"/>
  <c r="D56" i="9"/>
  <c r="H119" i="9"/>
  <c r="H5" i="52"/>
  <c r="B48" i="72"/>
  <c r="B52" i="72"/>
  <c r="F4" i="52"/>
  <c r="H108" i="9"/>
  <c r="D15" i="53"/>
  <c r="B31" i="72"/>
  <c r="B49" i="72"/>
  <c r="D122" i="9"/>
  <c r="D123" i="9"/>
  <c r="D9" i="52"/>
  <c r="D59" i="9"/>
  <c r="M55" i="9"/>
  <c r="C67" i="9"/>
  <c r="C68" i="9"/>
  <c r="D54" i="9"/>
  <c r="H107" i="9"/>
  <c r="D13" i="53"/>
  <c r="D14" i="53"/>
  <c r="B32" i="72"/>
  <c r="B20" i="72"/>
  <c r="D5" i="53"/>
  <c r="D6" i="53"/>
  <c r="D55" i="9"/>
  <c r="M53" i="9"/>
  <c r="N57" i="9"/>
  <c r="C96" i="9"/>
  <c r="E96" i="9"/>
  <c r="E97" i="9"/>
  <c r="C85" i="9"/>
  <c r="C95" i="9"/>
  <c r="C97" i="9"/>
  <c r="D58" i="9"/>
  <c r="E4" i="52"/>
  <c r="G4" i="52"/>
  <c r="C64" i="9"/>
  <c r="C63" i="9"/>
  <c r="E118" i="9"/>
  <c r="D118" i="9"/>
  <c r="D119" i="9"/>
  <c r="D5" i="52"/>
  <c r="C78" i="9"/>
  <c r="C73" i="9"/>
  <c r="I118" i="9"/>
  <c r="H118" i="9"/>
  <c r="H101" i="9"/>
  <c r="D45" i="9"/>
  <c r="C72" i="9"/>
  <c r="C79" i="9"/>
  <c r="C80" i="9"/>
  <c r="E80"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<sst xmlns="http://schemas.openxmlformats.org/spreadsheetml/2006/main" count="7876" uniqueCount="3434">
  <si>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</si>
  <si>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</si>
  <si>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</si>
  <si>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</si>
  <si>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</si>
  <si>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</si>
  <si>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</si>
  <si>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</si>
  <si>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</si>
  <si>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</si>
  <si>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</si>
  <si>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</si>
  <si>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</si>
  <si>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</si>
  <si>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</si>
  <si>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</si>
  <si>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</si>
  <si>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</si>
  <si>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</si>
  <si>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</si>
  <si>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</si>
  <si>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</si>
  <si>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</si>
  <si>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</si>
  <si>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</si>
  <si>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</si>
  <si>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</si>
  <si>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</si>
  <si>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</si>
  <si>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</si>
  <si>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</si>
  <si>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</si>
  <si>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</si>
  <si>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</si>
  <si>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</si>
  <si>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</si>
  <si>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</si>
  <si>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</si>
  <si>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</si>
  <si>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</si>
  <si>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</si>
  <si>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</si>
  <si>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</si>
  <si>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</si>
  <si>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</si>
  <si>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</si>
  <si>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</si>
  <si>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</si>
  <si>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</si>
  <si>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</si>
  <si>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</si>
  <si>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</si>
  <si>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</si>
  <si>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</si>
  <si>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</si>
  <si>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</si>
  <si>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</si>
  <si>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</si>
  <si>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</si>
  <si>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</si>
  <si>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</si>
  <si>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</si>
  <si>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</si>
  <si>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</si>
  <si>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</si>
  <si>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</si>
  <si>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</si>
  <si>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</si>
  <si>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</si>
  <si>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</si>
  <si>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</si>
  <si>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</si>
  <si>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</si>
  <si>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</si>
  <si>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</si>
  <si>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</si>
  <si>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</si>
  <si>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</si>
  <si>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</si>
  <si>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</si>
  <si>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</si>
  <si>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</si>
  <si>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</si>
  <si>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</si>
  <si>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</si>
  <si>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</si>
  <si>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</si>
  <si>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</si>
  <si>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</si>
  <si>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</si>
  <si>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</si>
  <si>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</si>
  <si>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</si>
  <si>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</si>
  <si>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</si>
  <si>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</si>
  <si>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</si>
  <si>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</si>
  <si>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</si>
  <si>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</si>
  <si>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</si>
  <si>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</si>
  <si>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</si>
  <si>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</si>
  <si>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</si>
  <si>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</si>
  <si>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</si>
  <si>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</si>
  <si>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</si>
  <si>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</si>
  <si>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</si>
  <si>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</si>
  <si>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</si>
  <si>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</si>
  <si>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</si>
  <si>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</si>
  <si>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</si>
  <si>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</si>
  <si>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</si>
  <si>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</si>
  <si>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</si>
  <si>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</si>
  <si>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</si>
  <si>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</si>
  <si>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</si>
  <si>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</si>
  <si>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</si>
  <si>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</si>
  <si>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</si>
  <si>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</si>
  <si>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</si>
  <si>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</si>
  <si>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</si>
  <si>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</si>
  <si>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</si>
  <si>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</si>
  <si>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</si>
  <si>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</si>
  <si>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</si>
  <si>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</si>
  <si>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</si>
  <si>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</si>
  <si>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</si>
  <si>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</si>
  <si>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</si>
  <si>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</si>
  <si>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</si>
  <si>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</si>
  <si>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</si>
  <si>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</si>
  <si>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</si>
  <si>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</si>
  <si>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</si>
  <si>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</si>
  <si>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</si>
  <si>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</si>
  <si>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</si>
  <si>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</si>
  <si>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</si>
  <si>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</si>
  <si>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</si>
  <si>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</si>
  <si>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</si>
  <si>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</si>
  <si>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</si>
  <si>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</si>
  <si>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</si>
  <si>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</si>
  <si>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</si>
  <si>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</si>
  <si>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</si>
  <si>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</si>
  <si>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</si>
  <si>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</si>
  <si>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</si>
  <si>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</si>
  <si>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</si>
  <si>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</si>
  <si>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</si>
  <si>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</si>
  <si>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</si>
  <si>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</si>
  <si>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</si>
  <si>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</si>
  <si>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</si>
  <si>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</si>
  <si>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</si>
  <si>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</si>
  <si>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</si>
  <si>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</si>
  <si>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</si>
  <si>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</si>
  <si>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</si>
  <si>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</si>
  <si>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</si>
  <si>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</si>
  <si>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</si>
  <si>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</si>
  <si>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</si>
  <si>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</si>
  <si>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</si>
  <si>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</si>
  <si>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</si>
  <si>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</si>
  <si>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</si>
  <si>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</si>
  <si>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</si>
  <si>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</si>
  <si>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</si>
  <si>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</si>
  <si>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</si>
  <si>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</si>
  <si>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</si>
  <si>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</si>
  <si>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</si>
  <si>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</si>
  <si>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</si>
  <si>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</si>
  <si>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</si>
  <si>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</si>
  <si>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</si>
  <si>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</si>
  <si>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</si>
  <si>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</si>
  <si>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</si>
  <si>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</si>
  <si>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</si>
  <si>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</si>
  <si>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</si>
  <si>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</si>
  <si>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</si>
  <si>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</si>
  <si>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</si>
  <si>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</si>
  <si>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</si>
  <si>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</si>
  <si>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</si>
  <si>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</si>
  <si>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</si>
  <si>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</si>
  <si>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</si>
  <si>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</si>
  <si>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</si>
  <si>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</si>
  <si>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</si>
  <si>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</si>
  <si>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</si>
  <si>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</si>
  <si>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</si>
  <si>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</si>
  <si>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</si>
  <si>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</si>
  <si>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</si>
  <si>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</si>
  <si>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</si>
  <si>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</si>
  <si>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</si>
  <si>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</si>
  <si>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</si>
  <si>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</si>
  <si>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</si>
  <si>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</si>
  <si>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</si>
  <si>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</si>
  <si>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</si>
  <si>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</si>
  <si>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</si>
  <si>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</si>
  <si>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</si>
  <si>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</si>
  <si>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</si>
  <si>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</si>
  <si>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</si>
  <si>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</si>
  <si>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</si>
  <si>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</si>
  <si>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</si>
  <si>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</si>
  <si>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</si>
  <si>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</si>
  <si>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</si>
  <si>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</si>
  <si>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</si>
  <si>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</si>
  <si>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</si>
  <si>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</si>
  <si>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</si>
  <si>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</si>
  <si>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</si>
  <si>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</si>
  <si>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</si>
  <si>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</si>
  <si>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</si>
  <si>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</si>
  <si>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</si>
  <si>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</si>
  <si>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</si>
  <si>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</si>
  <si>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</si>
  <si>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</si>
  <si>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</si>
  <si>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</si>
  <si>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</si>
  <si>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</si>
  <si>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</si>
  <si>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</si>
  <si>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</si>
  <si>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</si>
  <si>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</si>
  <si>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</si>
  <si>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</si>
  <si>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</si>
  <si>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</si>
  <si>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</si>
  <si>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</si>
  <si>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</si>
  <si>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</si>
  <si>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</si>
  <si>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</si>
  <si>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</si>
  <si>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</si>
  <si>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</si>
  <si>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</si>
  <si>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</si>
  <si>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</si>
  <si>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</si>
  <si>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</si>
  <si>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</si>
  <si>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</si>
  <si>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</si>
  <si>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</si>
  <si>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</si>
  <si>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</si>
  <si>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</si>
  <si>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</si>
  <si>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</si>
  <si>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</si>
  <si>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</si>
  <si>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</si>
  <si>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</si>
  <si>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</si>
  <si>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</si>
  <si>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</si>
  <si>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</si>
  <si>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</si>
  <si>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</si>
  <si>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</si>
  <si>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</si>
  <si>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</si>
  <si>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</si>
  <si>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</si>
  <si>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</si>
  <si>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</si>
  <si>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</si>
  <si>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</si>
  <si>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</si>
  <si>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</si>
  <si>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</si>
  <si>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</si>
  <si>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</si>
  <si>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</si>
  <si>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</si>
  <si>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</si>
  <si>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</si>
  <si>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</si>
  <si>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</si>
  <si>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</si>
  <si>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</si>
  <si>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</si>
  <si>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</si>
  <si>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</si>
  <si>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</si>
  <si>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</si>
  <si>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</si>
  <si>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</si>
  <si>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</si>
  <si>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</si>
  <si>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</si>
  <si>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</si>
  <si>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</si>
  <si>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</si>
  <si>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</si>
  <si>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</si>
  <si>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</si>
  <si>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</si>
  <si>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</si>
  <si>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</si>
  <si>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</si>
  <si>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</si>
  <si>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</si>
  <si>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</si>
  <si>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</si>
  <si>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</si>
  <si>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</si>
  <si>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</si>
  <si>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</si>
  <si>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</si>
  <si>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</si>
  <si>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</si>
  <si>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</si>
  <si>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</si>
  <si>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</si>
  <si>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</si>
  <si>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</si>
  <si>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</si>
  <si>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</si>
  <si>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</si>
  <si>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</si>
  <si>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</si>
  <si>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</si>
  <si>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</si>
  <si>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</si>
  <si>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</si>
  <si>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</si>
  <si>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</si>
  <si>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</si>
  <si>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</si>
  <si>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</si>
  <si>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</si>
  <si>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</si>
  <si>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</si>
  <si>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</si>
  <si>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</si>
  <si>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</si>
  <si>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</si>
  <si>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</si>
  <si>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</si>
  <si>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</si>
  <si>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</si>
  <si>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</si>
  <si>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</si>
  <si>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</si>
  <si>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</si>
  <si>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</si>
  <si>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</si>
  <si>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</si>
  <si>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</si>
  <si>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</si>
  <si>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</si>
  <si>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</si>
  <si>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</si>
  <si>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</si>
  <si>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</si>
  <si>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</si>
  <si>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</si>
  <si>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</si>
  <si>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</si>
  <si>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</si>
  <si>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</si>
  <si>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</si>
  <si>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</si>
  <si>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</si>
  <si>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</si>
  <si>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</si>
  <si>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</si>
  <si>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</si>
  <si>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</si>
  <si>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</si>
  <si>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</si>
  <si>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</si>
  <si>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</si>
  <si>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</si>
  <si>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</si>
  <si>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</si>
  <si>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</si>
  <si>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</si>
  <si>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</si>
  <si>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</si>
  <si>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</si>
  <si>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</si>
  <si>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</si>
  <si>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</si>
  <si>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</si>
  <si>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</si>
  <si>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</si>
  <si>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</si>
  <si>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</si>
  <si>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</si>
  <si>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</si>
  <si>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</si>
  <si>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</si>
  <si>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</si>
  <si>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</si>
  <si>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</si>
  <si>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</si>
  <si>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</si>
  <si>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</si>
  <si>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</si>
  <si>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</si>
  <si>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</si>
  <si>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</si>
  <si>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</si>
  <si>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</si>
  <si>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</si>
  <si>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</si>
  <si>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</si>
  <si>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</si>
  <si>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</si>
  <si>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</si>
  <si>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</si>
  <si>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</si>
  <si>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</si>
  <si>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</si>
  <si>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</si>
  <si>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</si>
  <si>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</si>
  <si>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</si>
  <si>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</si>
  <si>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</si>
  <si>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</si>
  <si>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</si>
  <si>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</si>
  <si>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</si>
  <si>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</si>
  <si>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</si>
  <si>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</si>
  <si>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</si>
  <si>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</si>
  <si>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</si>
  <si>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</si>
  <si>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</si>
  <si>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</si>
  <si>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</si>
  <si>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</si>
  <si>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</si>
  <si>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</si>
  <si>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</si>
  <si>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</si>
  <si>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</si>
  <si>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</si>
  <si>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</si>
  <si>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</si>
  <si>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</si>
  <si>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</si>
  <si>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</si>
  <si>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</si>
  <si>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</si>
  <si>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</si>
  <si>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</si>
  <si>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</si>
  <si>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</si>
  <si>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</si>
  <si>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</si>
  <si>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</si>
  <si>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</si>
  <si>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</si>
  <si>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</si>
  <si>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</si>
  <si>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</si>
  <si>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</si>
  <si>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</si>
  <si>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</si>
  <si>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</si>
  <si>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</si>
  <si>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</si>
  <si>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</si>
  <si>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</si>
  <si>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</si>
  <si>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</si>
  <si>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</si>
  <si>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</si>
  <si>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</si>
  <si>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</si>
  <si>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</si>
  <si>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</si>
  <si>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</si>
  <si>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</si>
  <si>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</si>
  <si>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</si>
  <si>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</si>
  <si>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</si>
  <si>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</si>
  <si>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</si>
  <si>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</si>
  <si>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</si>
  <si>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</si>
  <si>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</si>
  <si>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</si>
  <si>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</si>
  <si>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</si>
  <si>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</si>
  <si>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</si>
  <si>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</si>
  <si>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</si>
  <si>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</si>
  <si>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</si>
  <si>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</si>
  <si>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</si>
  <si>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</si>
  <si>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</si>
  <si>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</si>
  <si>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</si>
  <si>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</si>
  <si>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</si>
  <si>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</si>
  <si>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</si>
  <si>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</si>
  <si>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</si>
  <si>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</si>
  <si>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</si>
  <si>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</si>
  <si>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</si>
  <si>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</si>
  <si>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</si>
  <si>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</si>
  <si>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</si>
  <si>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</si>
  <si>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</si>
  <si>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</si>
  <si>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</si>
  <si>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</si>
  <si>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</si>
  <si>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</si>
  <si>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</si>
  <si>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</si>
  <si>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</si>
  <si>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</si>
  <si>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</si>
  <si>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</si>
  <si>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</si>
  <si>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</si>
  <si>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</si>
  <si>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</si>
  <si>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</si>
  <si>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</si>
  <si>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</si>
  <si>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</si>
  <si>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</si>
  <si>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</si>
  <si>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</si>
  <si>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</si>
  <si>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</si>
  <si>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</si>
  <si>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</si>
  <si>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</si>
  <si>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</si>
  <si>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</si>
  <si>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</si>
  <si>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</si>
  <si>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</si>
  <si>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</si>
  <si>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</si>
  <si>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</si>
  <si>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</si>
  <si>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</si>
  <si>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</si>
  <si>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</si>
  <si>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</si>
  <si>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</si>
  <si>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</si>
  <si>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</si>
  <si>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</si>
  <si>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</si>
  <si>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</si>
  <si>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</si>
  <si>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</si>
  <si>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</si>
  <si>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</si>
  <si>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</si>
  <si>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</si>
  <si>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</si>
  <si>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</si>
  <si>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</si>
  <si>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</si>
  <si>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</si>
  <si>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</si>
  <si>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</si>
  <si>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</si>
  <si>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</si>
  <si>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</si>
  <si>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</si>
  <si>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</si>
  <si>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</si>
  <si>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</si>
  <si>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</si>
  <si>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</si>
  <si>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</si>
  <si>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</si>
  <si>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</si>
  <si>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</si>
  <si>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</si>
  <si>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</si>
  <si>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</si>
  <si>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</si>
  <si>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</si>
  <si>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</si>
  <si>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</si>
  <si>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</si>
  <si>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</si>
  <si>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</si>
  <si>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</si>
  <si>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</si>
  <si>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</si>
  <si>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</si>
  <si>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</si>
  <si>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</si>
  <si>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</si>
  <si>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</si>
  <si>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</si>
  <si>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</si>
  <si>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</si>
  <si>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</si>
  <si>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</si>
  <si>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</si>
  <si>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</si>
  <si>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</si>
  <si>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</si>
  <si>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</si>
  <si>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</si>
  <si>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</si>
  <si>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</si>
  <si>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</si>
  <si>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</si>
  <si>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</si>
  <si>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</si>
  <si>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</si>
  <si>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</si>
  <si>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</si>
  <si>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</si>
  <si>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</si>
  <si>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</si>
  <si>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</si>
  <si>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</si>
  <si>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</si>
  <si>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</si>
  <si>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</si>
  <si>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</si>
  <si>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</si>
  <si>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</si>
  <si>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</si>
  <si>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</si>
  <si>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</si>
  <si>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</si>
  <si>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</si>
  <si>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</si>
  <si>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</si>
  <si>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</si>
  <si>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</si>
  <si>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</si>
  <si>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</si>
  <si>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</si>
  <si>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</si>
  <si>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</si>
  <si>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</si>
  <si>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</si>
  <si>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</si>
  <si>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</si>
  <si>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</si>
  <si>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</si>
  <si>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</si>
  <si>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</si>
  <si>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</si>
  <si>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</si>
  <si>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</si>
  <si>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</si>
  <si>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</si>
  <si>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</si>
  <si>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</si>
  <si>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</si>
  <si>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</si>
  <si>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</si>
  <si>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</si>
  <si>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</si>
  <si>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</si>
  <si>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</si>
  <si>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</si>
  <si>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</si>
  <si>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</si>
  <si>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</si>
  <si>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</si>
  <si>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</si>
  <si>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</si>
  <si>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</si>
  <si>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</si>
  <si>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</si>
  <si>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</si>
  <si>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</si>
  <si>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</si>
  <si>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</si>
  <si>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</si>
  <si>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</si>
  <si>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</si>
  <si>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</si>
  <si>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</si>
  <si>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</si>
  <si>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</si>
  <si>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</si>
  <si>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</si>
  <si>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</si>
  <si>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</si>
  <si>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</si>
  <si>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</si>
  <si>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</si>
  <si>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</si>
  <si>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</si>
  <si>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</si>
  <si>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</si>
  <si>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</si>
  <si>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</si>
  <si>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</si>
  <si>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</si>
  <si>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</si>
  <si>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</si>
  <si>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</si>
  <si>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</si>
  <si>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</si>
  <si>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</si>
  <si>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</si>
  <si>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</si>
  <si>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</si>
  <si>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</si>
  <si>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</si>
  <si>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</si>
  <si>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</si>
  <si>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</si>
  <si>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</si>
  <si>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</si>
  <si>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</si>
  <si>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</si>
  <si>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</si>
  <si>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</si>
  <si>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</si>
  <si>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</si>
  <si>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</si>
  <si>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</si>
  <si>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</si>
  <si>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</si>
  <si>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</si>
  <si>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</si>
  <si>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</si>
  <si>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</si>
  <si>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</si>
  <si>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</si>
  <si>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</si>
  <si>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</si>
  <si>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</si>
  <si>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</si>
  <si>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</si>
  <si>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</si>
  <si>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</si>
  <si>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</si>
  <si>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</si>
  <si>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</si>
  <si>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</si>
  <si>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</si>
  <si>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</si>
  <si>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</si>
  <si>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</si>
  <si>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</si>
  <si>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</si>
  <si>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</si>
  <si>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</si>
  <si>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</si>
  <si>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</si>
  <si>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</si>
  <si>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</si>
  <si>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</si>
  <si>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</si>
  <si>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</si>
  <si>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</si>
  <si>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</si>
  <si>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</si>
  <si>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</si>
  <si>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</si>
  <si>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</si>
  <si>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</si>
  <si>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</si>
  <si>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</si>
  <si>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</si>
  <si>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</si>
  <si>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</si>
  <si>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</si>
  <si>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</si>
  <si>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</si>
  <si>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</si>
  <si>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</si>
  <si>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</si>
  <si>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</si>
  <si>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</si>
  <si>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</si>
  <si>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</si>
  <si>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</si>
  <si>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</si>
  <si>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</si>
  <si>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</si>
  <si>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</si>
  <si>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</si>
  <si>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</si>
  <si>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</si>
  <si>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</si>
  <si>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</si>
  <si>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</si>
  <si>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</si>
  <si>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</si>
  <si>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</si>
  <si>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</si>
  <si>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</si>
  <si>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</si>
  <si>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</si>
  <si>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</si>
  <si>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</si>
  <si>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</si>
  <si>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</si>
  <si>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</si>
  <si>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</si>
  <si>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</si>
  <si>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</si>
  <si>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</si>
  <si>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</si>
  <si>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</si>
  <si>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</si>
  <si>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</si>
  <si>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</si>
  <si>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</si>
  <si>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</si>
  <si>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</si>
  <si>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</si>
  <si>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</si>
  <si>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</si>
  <si>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</si>
  <si>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</si>
  <si>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</si>
  <si>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</si>
  <si>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</si>
  <si>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</si>
  <si>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</si>
  <si>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</si>
  <si>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</si>
  <si>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</si>
  <si>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</si>
  <si>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</si>
  <si>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</si>
  <si>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</si>
  <si>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</si>
  <si>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</si>
  <si>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</si>
  <si>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</si>
  <si>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</si>
  <si>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</si>
  <si>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</si>
  <si>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</si>
  <si>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</si>
  <si>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</si>
  <si>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</si>
  <si>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</si>
  <si>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</si>
  <si>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</si>
  <si>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</si>
  <si>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</si>
  <si>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</si>
  <si>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</si>
  <si>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</si>
  <si>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</si>
  <si>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</si>
  <si>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</si>
  <si>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</si>
  <si>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</si>
  <si>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</si>
  <si>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</si>
  <si>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</si>
  <si>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</si>
  <si>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</si>
  <si>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</si>
  <si>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</si>
  <si>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</si>
  <si>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</si>
  <si>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</si>
  <si>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</si>
  <si>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</si>
  <si>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</si>
  <si>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</si>
  <si>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</si>
  <si>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</si>
  <si>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</si>
  <si>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</si>
  <si>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</si>
  <si>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</si>
  <si>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</si>
  <si>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</si>
  <si>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</si>
  <si>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</si>
  <si>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</si>
  <si>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</si>
  <si>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</si>
  <si>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</si>
  <si>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</si>
  <si>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</si>
  <si>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</si>
  <si>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</si>
  <si>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</si>
  <si>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</si>
  <si>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</si>
  <si>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</si>
  <si>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</si>
  <si>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</si>
  <si>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</si>
  <si>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</si>
  <si>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</si>
  <si>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</si>
  <si>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</si>
  <si>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</si>
  <si>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</si>
  <si>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</si>
  <si>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</si>
  <si>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</si>
  <si>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</si>
  <si>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</si>
  <si>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</si>
  <si>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</si>
  <si>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</si>
  <si>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</si>
  <si>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</si>
  <si>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</si>
  <si>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</si>
  <si>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</si>
  <si>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</si>
  <si>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</si>
  <si>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</si>
  <si>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</si>
  <si>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</si>
  <si>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</si>
  <si>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</si>
  <si>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</si>
  <si>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</si>
  <si>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</si>
  <si>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</si>
  <si>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</si>
  <si>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</si>
  <si>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</si>
  <si>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</si>
  <si>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</si>
  <si>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</si>
  <si>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</si>
  <si>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</si>
  <si>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</si>
  <si>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</si>
  <si>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</si>
  <si>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</si>
  <si>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</si>
  <si>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</si>
  <si>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</si>
  <si>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</si>
  <si>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</si>
  <si>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</si>
  <si>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</si>
  <si>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</si>
  <si>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</si>
  <si>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</si>
  <si>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</si>
  <si>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</si>
  <si>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</si>
  <si>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</si>
  <si>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</si>
  <si>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</si>
  <si>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</si>
  <si>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</si>
  <si>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</si>
  <si>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</si>
  <si>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</si>
  <si>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</si>
  <si>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</si>
  <si>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</si>
  <si>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</si>
  <si>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</si>
  <si>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</si>
  <si>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</si>
  <si>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</si>
  <si>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</si>
  <si>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</si>
  <si>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</si>
  <si>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</si>
  <si>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</si>
  <si>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</si>
  <si>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</si>
  <si>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</si>
  <si>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</si>
  <si>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</si>
  <si>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</si>
  <si>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</si>
  <si>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</si>
  <si>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</si>
  <si>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</si>
  <si>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</si>
  <si>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</si>
  <si>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</si>
  <si>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</si>
  <si>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</si>
  <si>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</si>
  <si>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</si>
  <si>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</si>
  <si>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</si>
  <si>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</si>
  <si>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</si>
  <si>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</si>
  <si>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</si>
  <si>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</si>
  <si>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</si>
  <si>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</si>
  <si>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</si>
  <si>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</si>
  <si>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</si>
  <si>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</si>
  <si>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</si>
  <si>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</si>
  <si>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</si>
  <si>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</si>
  <si>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</si>
  <si>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</si>
  <si>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</si>
  <si>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</si>
  <si>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</si>
  <si>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</si>
  <si>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</si>
  <si>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</si>
  <si>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</si>
  <si>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</si>
  <si>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</si>
  <si>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</si>
  <si>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</si>
  <si>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</si>
  <si>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</si>
  <si>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</si>
  <si>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</si>
  <si>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</si>
  <si>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</si>
  <si>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</si>
  <si>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</si>
  <si>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</si>
  <si>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</si>
  <si>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</si>
  <si>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</si>
  <si>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</si>
  <si>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</si>
  <si>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</si>
  <si>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</si>
  <si>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</si>
  <si>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</si>
  <si>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</si>
  <si>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</si>
  <si>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</si>
  <si>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</si>
  <si>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</si>
  <si>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</si>
  <si>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</si>
  <si>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</si>
  <si>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</si>
  <si>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</si>
  <si>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</si>
  <si>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</si>
  <si>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</si>
  <si>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</si>
  <si>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</si>
  <si>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</si>
  <si>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</si>
  <si>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</si>
  <si>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</si>
  <si>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</si>
  <si>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</si>
  <si>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</si>
  <si>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</si>
  <si>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</si>
  <si>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</si>
  <si>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</si>
  <si>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</si>
  <si>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</si>
  <si>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</si>
  <si>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</si>
  <si>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</si>
  <si>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</si>
  <si>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</si>
  <si>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</si>
  <si>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</si>
  <si>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</si>
  <si>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</si>
  <si>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</si>
  <si>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</si>
  <si>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</si>
  <si>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</si>
  <si>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</si>
  <si>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</si>
  <si>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</si>
  <si>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</si>
  <si>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</si>
  <si>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</si>
  <si>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</si>
  <si>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</si>
  <si>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</si>
  <si>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</si>
  <si>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</si>
  <si>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</si>
  <si>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</si>
  <si>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</si>
  <si>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</si>
  <si>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</si>
  <si>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</si>
  <si>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</si>
  <si>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</si>
  <si>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</si>
  <si>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</si>
  <si>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</si>
  <si>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</si>
  <si>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</si>
  <si>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</si>
  <si>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</si>
  <si>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</si>
  <si>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</si>
  <si>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</si>
  <si>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</si>
  <si>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</si>
  <si>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</si>
  <si>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</si>
  <si>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</si>
  <si>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</si>
  <si>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</si>
  <si>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</si>
  <si>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</si>
  <si>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</si>
  <si>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</si>
  <si>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</si>
  <si>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</si>
  <si>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</si>
  <si>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</si>
  <si>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</si>
  <si>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</si>
  <si>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</si>
  <si>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</si>
  <si>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</si>
  <si>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</si>
  <si>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</si>
  <si>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</si>
  <si>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</si>
  <si>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</si>
  <si>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</si>
  <si>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</si>
  <si>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</si>
  <si>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</si>
  <si>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</si>
  <si>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</si>
  <si>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</si>
  <si>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</si>
  <si>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</si>
  <si>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</si>
  <si>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</si>
  <si>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</si>
  <si>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</si>
  <si>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</si>
  <si>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</si>
  <si>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</si>
  <si>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</si>
  <si>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</si>
  <si>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</si>
  <si>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</si>
  <si>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</si>
  <si>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</si>
  <si>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</si>
  <si>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</si>
  <si>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</si>
  <si>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</si>
  <si>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</si>
  <si>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</si>
  <si>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</si>
  <si>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</si>
  <si>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</si>
  <si>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</si>
  <si>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</si>
  <si>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</si>
  <si>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</si>
  <si>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</si>
  <si>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</si>
  <si>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</si>
  <si>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</si>
  <si>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</si>
  <si>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</si>
  <si>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</si>
  <si>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</si>
  <si>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</si>
  <si>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</si>
  <si>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</si>
  <si>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</si>
  <si>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</si>
  <si>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</si>
  <si>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</si>
  <si>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</si>
  <si>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</si>
  <si>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</si>
  <si>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</si>
  <si>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</si>
  <si>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</si>
  <si>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</si>
  <si>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</si>
  <si>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</si>
  <si>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</si>
  <si>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</si>
  <si>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</si>
  <si>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</si>
  <si>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</si>
  <si>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</si>
  <si>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</si>
  <si>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</si>
  <si>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</si>
  <si>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</si>
  <si>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</si>
  <si>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</si>
  <si>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</si>
  <si>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</si>
  <si>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</si>
  <si>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</si>
  <si>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</si>
  <si>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</si>
  <si>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</si>
  <si>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</si>
  <si>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</si>
  <si>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</si>
  <si>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</si>
  <si>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</si>
  <si>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</si>
  <si>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</si>
  <si>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</si>
  <si>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</si>
  <si>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</si>
  <si>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</si>
  <si>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</si>
  <si>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</si>
  <si>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</si>
  <si>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</si>
  <si>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</si>
  <si>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</si>
  <si>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</si>
  <si>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</si>
  <si>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</si>
  <si>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</si>
  <si>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</si>
  <si>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</si>
  <si>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</si>
  <si>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</si>
  <si>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</si>
  <si>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</si>
  <si>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</si>
  <si>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</si>
  <si>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</si>
  <si>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</si>
  <si>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</si>
  <si>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</si>
  <si>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</si>
  <si>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</si>
  <si>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</si>
  <si>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</si>
  <si>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</si>
  <si>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</si>
  <si>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</si>
  <si>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</si>
  <si>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</si>
  <si>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</si>
  <si>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</si>
  <si>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</si>
  <si>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</si>
  <si>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</si>
  <si>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</si>
  <si>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</si>
  <si>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</si>
  <si>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</si>
  <si>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</si>
  <si>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</si>
  <si>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</si>
  <si>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</si>
  <si>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</si>
  <si>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</si>
  <si>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</si>
  <si>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</si>
  <si>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</si>
  <si>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</si>
  <si>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</si>
  <si>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</si>
  <si>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</si>
  <si>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</si>
  <si>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</si>
  <si>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</si>
  <si>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</si>
  <si>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</si>
  <si>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</si>
  <si>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</si>
  <si>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</si>
  <si>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</si>
  <si>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</si>
  <si>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</si>
  <si>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</si>
  <si>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</si>
  <si>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</si>
  <si>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</si>
  <si>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</si>
  <si>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</si>
  <si>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</si>
  <si>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</si>
  <si>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</si>
  <si>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</si>
  <si>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</si>
  <si>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</si>
  <si>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</si>
  <si>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</si>
  <si>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</si>
  <si>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</si>
  <si>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</si>
  <si>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</si>
  <si>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</si>
  <si>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</si>
  <si>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</si>
  <si>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</si>
  <si>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</si>
  <si>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</si>
  <si>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</si>
  <si>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</si>
  <si>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</si>
  <si>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</si>
  <si>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</si>
  <si>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</si>
  <si>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</si>
  <si>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</si>
  <si>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</si>
  <si>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</si>
  <si>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</si>
  <si>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</si>
  <si>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</si>
  <si>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</si>
  <si>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</si>
  <si>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</si>
  <si>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</si>
  <si>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</si>
  <si>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</si>
  <si>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</si>
  <si>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</si>
  <si>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</si>
  <si>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</si>
  <si>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</si>
  <si>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</si>
  <si>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</si>
  <si>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</si>
  <si>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</si>
  <si>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</si>
  <si>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</si>
  <si>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</si>
  <si>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</si>
  <si>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</si>
  <si>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</si>
  <si>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</si>
  <si>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</si>
  <si>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</si>
  <si>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</si>
  <si>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</si>
  <si>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</si>
  <si>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</si>
  <si>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</si>
  <si>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</si>
  <si>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</si>
  <si>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</si>
  <si>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</si>
  <si>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</si>
  <si>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</si>
  <si>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</si>
  <si>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</si>
  <si>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</si>
  <si>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</si>
  <si>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</si>
  <si>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</si>
  <si>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</si>
  <si>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</si>
  <si>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</si>
  <si>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</si>
  <si>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</si>
  <si>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</si>
  <si>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</si>
  <si>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</si>
  <si>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</si>
  <si>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</si>
  <si>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</si>
  <si>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</si>
  <si>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</si>
  <si>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</si>
  <si>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</si>
  <si>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</si>
  <si>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</si>
  <si>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</si>
  <si>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</si>
  <si>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</si>
  <si>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</si>
  <si>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</si>
  <si>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</si>
  <si>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</si>
  <si>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</si>
  <si>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</si>
  <si>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</si>
  <si>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</si>
  <si>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</si>
  <si>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</si>
  <si>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</si>
  <si>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</si>
  <si>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</si>
  <si>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</si>
  <si>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</si>
  <si>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</si>
  <si>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</si>
  <si>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</si>
  <si>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</si>
  <si>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</si>
  <si>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</si>
  <si>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</si>
  <si>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</si>
  <si>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</si>
  <si>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</si>
  <si>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</si>
  <si>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</si>
  <si>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</si>
  <si>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</si>
  <si>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</si>
  <si>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</si>
  <si>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</si>
  <si>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</si>
  <si>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</si>
  <si>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</si>
  <si>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</si>
  <si>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</si>
  <si>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</si>
  <si>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</si>
  <si>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</si>
  <si>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</si>
  <si>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</si>
  <si>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</si>
  <si>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</si>
  <si>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</si>
  <si>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</si>
  <si>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</si>
  <si>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</si>
  <si>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</si>
  <si>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</si>
  <si>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</si>
  <si>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</si>
  <si>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</si>
  <si>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</si>
  <si>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</si>
  <si>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</si>
  <si>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</si>
  <si>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</si>
  <si>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</si>
  <si>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</si>
  <si>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</si>
  <si>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</si>
  <si>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</si>
  <si>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</si>
  <si>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</si>
  <si>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</si>
  <si>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</si>
  <si>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</si>
  <si>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</si>
  <si>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</si>
  <si>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</si>
  <si>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</si>
  <si>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</si>
  <si>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</si>
  <si>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</si>
  <si>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</si>
  <si>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</si>
  <si>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</si>
  <si>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</si>
  <si>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</si>
  <si>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</si>
  <si>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</si>
  <si>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</si>
  <si>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</si>
  <si>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</si>
  <si>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</si>
  <si>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</si>
  <si>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</si>
  <si>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</si>
  <si>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</si>
  <si>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</si>
  <si>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</si>
  <si>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</si>
  <si>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</si>
  <si>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</si>
  <si>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</si>
  <si>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</si>
  <si>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</si>
  <si>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</si>
  <si>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</si>
  <si>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</si>
  <si>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</si>
  <si>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</si>
  <si>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</si>
  <si>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</si>
  <si>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</si>
  <si>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</si>
  <si>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</si>
  <si>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</si>
  <si>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</si>
  <si>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</si>
  <si>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</si>
  <si>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</si>
  <si>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</si>
  <si>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</si>
  <si>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</si>
  <si>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</si>
  <si>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</si>
  <si>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</si>
  <si>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</si>
  <si>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</si>
  <si>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</si>
  <si>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</si>
  <si>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</si>
  <si>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</si>
  <si>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</si>
  <si>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</si>
  <si>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</si>
  <si>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</si>
  <si>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</si>
  <si>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</si>
  <si>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</si>
  <si>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</si>
  <si>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</si>
  <si>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</si>
  <si>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</si>
  <si>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</si>
  <si>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</si>
  <si>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</si>
  <si>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</si>
  <si>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</si>
  <si>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</si>
  <si>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</si>
  <si>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</si>
  <si>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</si>
  <si>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</si>
  <si>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</si>
  <si>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</si>
  <si>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</si>
  <si>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</si>
  <si>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</si>
  <si>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</si>
  <si>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</si>
  <si>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</si>
  <si>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</si>
  <si>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</si>
  <si>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</si>
  <si>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</si>
  <si>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</si>
  <si>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</si>
  <si>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</si>
  <si>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</si>
  <si>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</si>
  <si>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</si>
  <si>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</si>
  <si>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</si>
  <si>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</si>
  <si>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</si>
  <si>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</si>
  <si>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</si>
  <si>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</si>
  <si>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</si>
  <si>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</si>
  <si>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</si>
  <si>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</si>
  <si>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</si>
  <si>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</si>
  <si>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</si>
  <si>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</si>
  <si>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</si>
  <si>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</si>
  <si>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</si>
  <si>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</si>
  <si>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</si>
  <si>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</si>
  <si>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</si>
  <si>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</si>
  <si>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</si>
  <si>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</si>
  <si>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</si>
  <si>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</si>
  <si>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</si>
  <si>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</si>
  <si>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</si>
  <si>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</si>
  <si>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</si>
  <si>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</si>
  <si>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</si>
  <si>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</si>
  <si>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</si>
  <si>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</si>
  <si>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</si>
  <si>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</si>
  <si>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</si>
  <si>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</si>
  <si>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</si>
  <si>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</si>
  <si>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</si>
  <si>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</si>
  <si>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</si>
  <si>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</si>
  <si>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</si>
  <si>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</si>
  <si>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</si>
  <si>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</si>
  <si>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</si>
  <si>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</si>
  <si>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</si>
  <si>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</si>
  <si>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</si>
  <si>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</si>
  <si>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</si>
  <si>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</si>
  <si>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</si>
  <si>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</si>
  <si>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</si>
  <si>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</si>
  <si>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</si>
  <si>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</si>
  <si>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</si>
  <si>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</si>
  <si>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</si>
  <si>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</si>
  <si>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</si>
  <si>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</si>
  <si>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</si>
  <si>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</si>
  <si>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</si>
  <si>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</si>
  <si>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</si>
  <si>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</si>
  <si>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</si>
  <si>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</si>
  <si>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</si>
  <si>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</si>
  <si>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</si>
  <si>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</si>
  <si>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</si>
  <si>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</si>
  <si>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</si>
  <si>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</si>
  <si>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</si>
  <si>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</si>
  <si>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</si>
  <si>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</si>
  <si>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</si>
  <si>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</si>
  <si>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</si>
  <si>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</si>
  <si>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</si>
  <si>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</si>
  <si>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</si>
  <si>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</si>
  <si>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</si>
  <si>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</si>
  <si>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</si>
  <si>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</si>
  <si>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</si>
  <si>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</si>
  <si>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</si>
  <si>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</si>
  <si>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</si>
  <si>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</si>
  <si>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</si>
  <si>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</si>
  <si>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</si>
  <si>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</si>
  <si>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</si>
  <si>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</si>
  <si>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</si>
  <si>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</si>
  <si>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</si>
  <si>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</si>
  <si>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</si>
  <si>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</si>
  <si>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</si>
  <si>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</si>
  <si>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</si>
  <si>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</si>
  <si>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</si>
  <si>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</si>
  <si>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</si>
  <si>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</si>
  <si>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</si>
  <si>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</si>
  <si>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</si>
  <si>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</si>
  <si>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</si>
  <si>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</si>
  <si>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</si>
  <si>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</si>
  <si>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</si>
  <si>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</si>
  <si>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</si>
  <si>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</si>
  <si>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</si>
  <si>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</si>
  <si>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</si>
  <si>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</si>
  <si>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</si>
  <si>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</si>
  <si>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</si>
  <si>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</si>
  <si>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</si>
  <si>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</si>
  <si>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</si>
  <si>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</si>
  <si>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</si>
  <si>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</si>
  <si>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</si>
  <si>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</si>
  <si>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</si>
  <si>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</si>
  <si>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</si>
  <si>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</si>
  <si>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</si>
  <si>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</si>
  <si>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</si>
  <si>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</si>
  <si>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</si>
  <si>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</si>
  <si>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</si>
  <si>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</si>
  <si>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</si>
  <si>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</si>
  <si>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</si>
  <si>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</si>
  <si>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</si>
  <si>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</si>
  <si>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</si>
  <si>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</si>
  <si>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</si>
  <si>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</si>
  <si>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</si>
  <si>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</si>
  <si>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</si>
  <si>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</si>
  <si>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</si>
  <si>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</si>
  <si>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</si>
  <si>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</si>
  <si>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</si>
  <si>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</si>
  <si>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</si>
  <si>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</si>
  <si>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</si>
  <si>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</si>
  <si>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</si>
  <si>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</si>
  <si>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</si>
  <si>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</si>
  <si>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</si>
  <si>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</si>
  <si>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</si>
  <si>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</si>
  <si>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</si>
  <si>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</si>
  <si>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</si>
  <si>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</si>
  <si>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</si>
  <si>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</si>
  <si>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</si>
  <si>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</si>
  <si>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</si>
  <si>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</si>
  <si>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</si>
  <si>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</si>
  <si>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</si>
  <si>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</si>
  <si>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</si>
  <si>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</si>
  <si>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</si>
  <si>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</si>
  <si>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</si>
  <si>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</si>
  <si>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</si>
  <si>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</si>
  <si>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</si>
  <si>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</si>
  <si>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</si>
  <si>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</si>
  <si>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</si>
  <si>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</si>
  <si>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</si>
  <si>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</si>
  <si>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</si>
  <si>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</si>
  <si>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</si>
  <si>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</si>
  <si>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</si>
  <si>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</si>
  <si>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</si>
  <si>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</si>
  <si>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</si>
  <si>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</si>
  <si>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</si>
  <si>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</si>
  <si>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</si>
  <si>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</si>
  <si>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</si>
  <si>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</si>
  <si>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</si>
  <si>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</si>
  <si>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</si>
  <si>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</si>
  <si>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</si>
  <si>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</si>
  <si>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</si>
  <si>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</si>
  <si>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</si>
  <si>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</si>
  <si>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</si>
  <si>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</si>
  <si>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</si>
  <si>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</si>
  <si>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</si>
  <si>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</si>
  <si>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</si>
  <si>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</si>
  <si>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</si>
  <si>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</si>
  <si>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</si>
  <si>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</si>
  <si>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</si>
  <si>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</si>
  <si>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</si>
  <si>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</si>
  <si>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</si>
  <si>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</si>
  <si>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</si>
  <si>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</si>
  <si>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</si>
  <si>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</si>
  <si>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</si>
  <si>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</si>
  <si>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</si>
  <si>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</si>
  <si>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</si>
  <si>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</si>
  <si>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</si>
  <si>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</si>
  <si>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</si>
  <si>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</si>
  <si>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</si>
  <si>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</si>
  <si>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</si>
  <si>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</si>
  <si>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</si>
  <si>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</si>
  <si>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</si>
  <si>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</si>
  <si>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</si>
  <si>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</si>
  <si>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</si>
  <si>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</si>
  <si>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</si>
  <si>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</si>
  <si>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</si>
  <si>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</si>
  <si>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</si>
  <si>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</si>
  <si>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</si>
  <si>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</si>
  <si>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</si>
  <si>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</si>
  <si>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</si>
  <si>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</si>
  <si>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</si>
  <si>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</si>
  <si>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</si>
  <si>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</si>
  <si>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</si>
  <si>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</si>
  <si>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</si>
  <si>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</si>
  <si>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</si>
  <si>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</si>
  <si>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</si>
  <si>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</si>
  <si>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</si>
  <si>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</si>
  <si>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</si>
  <si>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</si>
  <si>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</si>
  <si>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</si>
  <si>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</si>
  <si>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</si>
  <si>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</si>
  <si>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</si>
  <si>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</si>
  <si>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</si>
  <si>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</si>
  <si>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</si>
  <si>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</si>
  <si>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</si>
  <si>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</si>
  <si>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</si>
  <si>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</si>
  <si>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</si>
  <si>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</si>
  <si>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</si>
  <si>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</si>
  <si>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</si>
  <si>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</si>
  <si>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</si>
  <si>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</si>
  <si>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</si>
  <si>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</si>
  <si>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</si>
  <si>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</si>
  <si>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</si>
  <si>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</si>
  <si>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</si>
  <si>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</si>
  <si>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</si>
  <si>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</si>
  <si>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</si>
  <si>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</si>
  <si>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</si>
  <si>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</si>
  <si>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</si>
  <si>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</si>
  <si>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</si>
  <si>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</si>
  <si>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</si>
  <si>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</si>
  <si>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</si>
  <si>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</si>
  <si>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</si>
  <si>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</si>
  <si>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</si>
  <si>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</si>
  <si>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</si>
  <si>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</si>
  <si>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</si>
  <si>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</si>
  <si>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</si>
  <si>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</si>
  <si>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</si>
  <si>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</si>
  <si>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</si>
  <si>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</si>
  <si>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</si>
  <si>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</si>
  <si>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</si>
  <si>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</si>
  <si>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</si>
  <si>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</si>
  <si>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</si>
  <si>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</si>
  <si>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</si>
  <si>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</si>
  <si>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</si>
  <si>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</si>
  <si>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</si>
  <si>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</si>
  <si>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</si>
  <si>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</si>
  <si>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</si>
  <si>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</si>
  <si>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</si>
  <si>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</si>
  <si>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</si>
  <si>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</si>
  <si>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</si>
  <si>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</si>
  <si>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</si>
  <si>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</si>
  <si>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</si>
  <si>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</si>
  <si>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</si>
  <si>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</si>
  <si>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</si>
  <si>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</si>
  <si>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</si>
  <si>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</si>
  <si>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</si>
  <si>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</si>
  <si>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</si>
  <si>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</si>
  <si>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</si>
  <si>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</si>
  <si>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</si>
  <si>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</si>
  <si>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</si>
  <si>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</si>
  <si>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</si>
  <si>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</si>
  <si>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</si>
  <si>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</si>
  <si>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</si>
  <si>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</si>
  <si>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</si>
  <si>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</si>
  <si>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</si>
  <si>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</si>
  <si>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</si>
  <si>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</si>
  <si>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</si>
  <si>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</si>
  <si>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</si>
  <si>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</si>
  <si>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</si>
  <si>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</si>
  <si>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</si>
  <si>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</si>
  <si>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</si>
  <si>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</si>
  <si>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</si>
  <si>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</si>
  <si>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</si>
  <si>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</si>
  <si>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</si>
  <si>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</si>
  <si>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</si>
  <si>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</si>
  <si>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</si>
  <si>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</si>
  <si>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</si>
  <si>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</si>
  <si>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</si>
  <si>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</si>
  <si>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</si>
  <si>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</si>
  <si>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</si>
  <si>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</si>
  <si>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</si>
  <si>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</si>
  <si>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</si>
  <si>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</si>
  <si>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</si>
  <si>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</si>
  <si>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</si>
  <si>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</si>
  <si>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</si>
  <si>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</si>
  <si>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</si>
  <si>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</si>
  <si>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</si>
  <si>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</si>
  <si>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</si>
  <si>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</si>
  <si>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</si>
  <si>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</si>
  <si>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</si>
  <si>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</si>
  <si>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</si>
  <si>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</si>
  <si>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</si>
  <si>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</si>
  <si>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</si>
  <si>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</si>
  <si>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</si>
  <si>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</si>
  <si>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</si>
  <si>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</si>
  <si>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</si>
  <si>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</si>
  <si>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</si>
  <si>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</si>
  <si>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</si>
  <si>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</si>
  <si>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</si>
  <si>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</si>
  <si>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</si>
  <si>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</si>
  <si>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</si>
  <si>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</si>
  <si>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</si>
  <si>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</si>
  <si>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</si>
  <si>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</si>
  <si>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</si>
  <si>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</si>
  <si>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</si>
  <si>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</si>
  <si>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</si>
  <si>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</si>
  <si>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</si>
  <si>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</si>
  <si>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</si>
  <si>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</si>
  <si>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</si>
  <si>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</si>
  <si>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</si>
  <si>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</si>
  <si>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</si>
  <si>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</si>
  <si>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</si>
  <si>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</si>
  <si>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</si>
  <si>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</si>
  <si>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</si>
  <si>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</si>
  <si>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</si>
  <si>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</si>
  <si>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</si>
  <si>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</si>
  <si>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</si>
  <si>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</si>
  <si>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</si>
  <si>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</si>
  <si>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</si>
  <si>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</si>
  <si>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</si>
  <si>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</si>
  <si>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</si>
  <si>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</si>
  <si>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</si>
  <si>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</si>
  <si>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</si>
  <si>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</si>
  <si>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</si>
  <si>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</si>
  <si>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</si>
  <si>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</si>
  <si>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</si>
  <si>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</si>
  <si>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</si>
  <si>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</si>
  <si>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</si>
  <si>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</si>
  <si>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</si>
  <si>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</si>
  <si>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</si>
  <si>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</si>
  <si>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</si>
  <si>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</si>
  <si>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</si>
  <si>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</si>
  <si>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</si>
  <si>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</si>
  <si>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</si>
  <si>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</si>
  <si>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</si>
  <si>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</si>
  <si>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</si>
  <si>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</si>
  <si>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</si>
  <si>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</si>
  <si>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</si>
  <si>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</si>
  <si>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</si>
  <si>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</si>
  <si>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</si>
  <si>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</si>
  <si>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</si>
  <si>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</si>
  <si>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</si>
  <si>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</si>
  <si>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</si>
  <si>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</si>
  <si>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</si>
  <si>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</si>
  <si>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</si>
  <si>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</si>
  <si>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</si>
  <si>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</si>
  <si>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</si>
  <si>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</si>
  <si>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</si>
  <si>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</si>
  <si>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</si>
  <si>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</si>
  <si>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</si>
  <si>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</si>
  <si>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</si>
  <si>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</si>
  <si>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</si>
  <si>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</si>
  <si>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</si>
  <si>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</si>
  <si>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</si>
  <si>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</si>
  <si>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</si>
  <si>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</si>
  <si>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</si>
  <si>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</si>
  <si>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</si>
  <si>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</si>
  <si>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</si>
  <si>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</si>
  <si>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</si>
  <si>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</si>
  <si>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</si>
  <si>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</si>
  <si>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</si>
  <si>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</si>
  <si>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</si>
  <si>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</si>
  <si>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</si>
  <si>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</si>
  <si>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</si>
  <si>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</si>
  <si>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</si>
  <si>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</si>
  <si>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</si>
  <si>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</si>
  <si>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</si>
  <si>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</si>
  <si>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</si>
  <si>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</si>
  <si>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</si>
  <si>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</si>
  <si>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</si>
  <si>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</si>
  <si>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</si>
  <si>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</si>
  <si>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</si>
  <si>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</si>
  <si>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</si>
  <si>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</si>
  <si>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</si>
  <si>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</si>
  <si>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</si>
  <si>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</si>
  <si>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</si>
  <si>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</si>
  <si>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</si>
  <si>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</si>
  <si>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</si>
  <si>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</si>
  <si>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</si>
  <si>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</si>
  <si>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</si>
  <si>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</si>
  <si>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</si>
  <si>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</si>
  <si>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</si>
  <si>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</si>
  <si>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</si>
  <si>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</si>
  <si>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</si>
  <si>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</si>
  <si>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</si>
  <si>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</si>
  <si>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</si>
  <si>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</si>
  <si>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</si>
  <si>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</si>
  <si>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</si>
  <si>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</si>
  <si>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</si>
  <si>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</si>
  <si>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</si>
  <si>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</si>
  <si>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</si>
  <si>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</si>
  <si>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</si>
  <si>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</si>
  <si>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</si>
  <si>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</si>
  <si>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</si>
  <si>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</si>
  <si>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</si>
  <si>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</si>
  <si>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</si>
  <si>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</si>
  <si>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</si>
  <si>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</si>
  <si>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</si>
  <si>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</si>
  <si>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</si>
  <si>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</si>
  <si>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</si>
  <si>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</si>
  <si>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</si>
  <si>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</si>
  <si>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</si>
  <si>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</si>
  <si>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</si>
  <si>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</si>
  <si>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</si>
  <si>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</si>
  <si>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</si>
  <si>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</si>
  <si>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</si>
  <si>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</si>
  <si>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</si>
  <si>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</si>
  <si>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</si>
  <si>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</si>
  <si>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</si>
  <si>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</si>
  <si>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</si>
  <si>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</si>
  <si>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</si>
  <si>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</si>
  <si>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</si>
  <si>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</si>
  <si>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</si>
  <si>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</si>
  <si>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</si>
  <si>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</si>
  <si>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</si>
  <si>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</si>
  <si>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</si>
  <si>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</si>
  <si>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</si>
  <si>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</si>
  <si>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</si>
  <si>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</si>
  <si>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</si>
  <si>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</si>
  <si>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</si>
  <si>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</si>
  <si>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</si>
  <si>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</si>
  <si>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</si>
  <si>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</si>
  <si>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</si>
  <si>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</si>
  <si>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</si>
  <si>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</si>
  <si>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</si>
  <si>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</si>
  <si>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</si>
  <si>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</si>
  <si>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</si>
  <si>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</si>
  <si>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</si>
  <si>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</si>
  <si>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</si>
  <si>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</si>
  <si>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</si>
  <si>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</si>
  <si>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</si>
  <si>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</si>
  <si>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</si>
  <si>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</si>
  <si>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</si>
  <si>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</si>
  <si>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</si>
  <si>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</si>
  <si>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</si>
  <si>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</si>
  <si>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</si>
  <si>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</si>
  <si>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</si>
  <si>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</si>
  <si>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</si>
  <si>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</si>
  <si>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</si>
  <si>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</si>
  <si>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</si>
  <si>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</si>
  <si>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</si>
  <si>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</si>
  <si>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</si>
  <si>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</si>
  <si>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</si>
  <si>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</si>
  <si>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</si>
  <si>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</si>
  <si>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</si>
  <si>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</si>
  <si>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</si>
  <si>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</si>
  <si>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</si>
  <si>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</si>
  <si>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</si>
  <si>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</si>
  <si>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</si>
  <si>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</si>
  <si>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</si>
  <si>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</si>
  <si>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</si>
  <si>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</si>
  <si>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</si>
  <si>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</si>
  <si>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</si>
  <si>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</si>
  <si>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</si>
  <si>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</si>
  <si>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</si>
  <si>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</si>
  <si>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</si>
  <si>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</si>
  <si>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</si>
  <si>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</si>
  <si>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</si>
  <si>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</si>
  <si>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</si>
  <si>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</si>
  <si>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</si>
  <si>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</si>
  <si>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</si>
  <si>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</si>
  <si>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</si>
  <si>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</si>
  <si>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</si>
  <si>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</si>
  <si>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</si>
  <si>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</si>
  <si>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</si>
  <si>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</si>
  <si>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</si>
  <si>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</si>
  <si>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</si>
  <si>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</si>
  <si>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</si>
  <si>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</si>
  <si>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</si>
  <si>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</si>
  <si>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</si>
  <si>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</si>
  <si>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</si>
  <si>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</si>
  <si>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</si>
  <si>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</si>
  <si>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</si>
  <si>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</si>
  <si>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</si>
  <si>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</si>
  <si>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</si>
  <si>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</si>
  <si>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</si>
  <si>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</si>
  <si>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</si>
  <si>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</si>
  <si>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</si>
  <si>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</si>
  <si>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</si>
  <si>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</si>
  <si>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</si>
  <si>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</si>
  <si>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</si>
  <si>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</si>
  <si>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</si>
  <si>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</si>
  <si>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</si>
  <si>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</si>
  <si>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</si>
  <si>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</si>
  <si>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</si>
  <si>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</si>
  <si>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</si>
  <si>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</si>
  <si>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</si>
  <si>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</si>
  <si>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</si>
  <si>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</si>
  <si>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</si>
  <si>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</si>
  <si>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</si>
  <si>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</si>
  <si>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</si>
  <si>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</si>
  <si>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</si>
  <si>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</si>
  <si>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</si>
  <si>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</si>
  <si>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</si>
  <si>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</si>
  <si>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</si>
  <si>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</si>
  <si>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</si>
  <si>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</si>
  <si>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</si>
  <si>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</si>
  <si>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</si>
  <si>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</si>
  <si>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</si>
  <si>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</si>
  <si>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</si>
  <si>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</si>
  <si>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</si>
  <si>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</si>
  <si>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</si>
  <si>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</si>
  <si>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</si>
  <si>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</si>
  <si>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</si>
  <si>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</si>
  <si>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</si>
  <si>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</si>
  <si>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</si>
  <si>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</si>
  <si>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</si>
  <si>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</si>
  <si>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</si>
  <si>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</si>
  <si>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</si>
  <si>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</si>
  <si>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</si>
  <si>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</si>
  <si>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</si>
  <si>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</si>
  <si>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</si>
  <si>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</si>
  <si>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</si>
  <si>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</si>
  <si>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</si>
  <si>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</si>
  <si>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</si>
  <si>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</si>
  <si>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</si>
  <si>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</si>
  <si>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</si>
  <si>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</si>
  <si>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</si>
  <si>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</si>
  <si>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</si>
  <si>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</si>
  <si>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</si>
  <si>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</si>
  <si>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</si>
  <si>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</si>
  <si>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</si>
  <si>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</si>
  <si>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</si>
  <si>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</si>
  <si>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</si>
  <si>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</si>
  <si>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</si>
  <si>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</si>
  <si>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</si>
  <si>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</si>
  <si>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</si>
  <si>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</si>
  <si>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</si>
  <si>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</si>
  <si>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</si>
  <si>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</si>
  <si>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</si>
  <si>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</si>
  <si>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</si>
  <si>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</si>
  <si>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</si>
  <si>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</si>
  <si>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</si>
  <si>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</si>
  <si>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</si>
  <si>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</si>
  <si>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</si>
  <si>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</si>
  <si>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</si>
  <si>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</si>
  <si>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</si>
  <si>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</si>
  <si>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</si>
  <si>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</si>
  <si>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</si>
  <si>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</si>
  <si>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</si>
  <si>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</si>
  <si>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</si>
  <si>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</si>
  <si>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</si>
  <si>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</si>
  <si>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</si>
  <si>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</si>
  <si>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</si>
  <si>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</si>
  <si>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</si>
  <si>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</si>
  <si>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</si>
  <si>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</si>
  <si>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</si>
  <si>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</si>
  <si>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</si>
  <si>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</si>
  <si>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</si>
  <si>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</si>
  <si>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</si>
  <si>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</si>
  <si>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</si>
  <si>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</si>
  <si>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</si>
  <si>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</si>
  <si>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</si>
  <si>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</si>
  <si>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</si>
  <si>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</si>
  <si>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</si>
  <si>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</si>
  <si>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</si>
  <si>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</si>
  <si>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</si>
  <si>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</si>
  <si>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</si>
  <si>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</si>
  <si>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</si>
  <si>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</si>
  <si>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</si>
  <si>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</si>
  <si>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</si>
  <si>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</si>
  <si>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</si>
  <si>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</si>
  <si>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</si>
  <si>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</si>
  <si>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</si>
  <si>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</si>
  <si>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</si>
  <si>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</si>
  <si>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</si>
  <si>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</si>
  <si>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</si>
  <si>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</si>
  <si>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</si>
  <si>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</si>
  <si>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</si>
  <si>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</si>
  <si>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</si>
  <si>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</si>
  <si>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</si>
  <si>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</si>
  <si>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</si>
  <si>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</si>
  <si>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</si>
  <si>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</si>
  <si>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</si>
  <si>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</si>
  <si>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</si>
  <si>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</si>
  <si>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</si>
  <si>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</si>
  <si>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</si>
  <si>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</si>
  <si>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</si>
  <si>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</si>
  <si>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</si>
  <si>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</si>
  <si>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</si>
  <si>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</si>
  <si>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</si>
  <si>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</si>
  <si>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</si>
  <si>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</si>
  <si>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</si>
  <si>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</si>
  <si>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</si>
  <si>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</si>
  <si>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</si>
  <si>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</si>
  <si>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</si>
  <si>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</si>
  <si>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</si>
  <si>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</si>
  <si>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</si>
  <si>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</si>
  <si>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</si>
  <si>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</si>
  <si>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</si>
  <si>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</si>
  <si>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</si>
  <si>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</si>
  <si>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</si>
  <si>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</si>
  <si>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</si>
  <si>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</si>
  <si>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</si>
  <si>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</si>
  <si>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</si>
  <si>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</si>
  <si>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</si>
  <si>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</si>
  <si>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</si>
  <si>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</si>
  <si>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</si>
  <si>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</si>
  <si>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</si>
  <si>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</si>
  <si>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</si>
  <si>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</si>
  <si>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</si>
  <si>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</si>
  <si>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</si>
  <si>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</si>
  <si>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</si>
  <si>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</si>
  <si>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</si>
  <si>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</si>
  <si>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</si>
  <si>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</si>
  <si>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</si>
  <si>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</si>
  <si>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</si>
  <si>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</si>
  <si>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</si>
  <si>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</si>
  <si>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</si>
  <si>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</si>
  <si>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</si>
  <si>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</si>
  <si>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</si>
  <si>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</si>
  <si>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</si>
  <si>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</si>
  <si>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</si>
  <si>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</si>
  <si>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</si>
  <si>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</si>
  <si>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</si>
  <si>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</si>
  <si>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</si>
  <si>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</si>
  <si>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</si>
  <si>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</si>
  <si>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</si>
  <si>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</si>
  <si>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</si>
  <si>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</si>
  <si>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</si>
  <si>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</si>
  <si>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</si>
  <si>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</si>
  <si>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</si>
  <si>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</si>
  <si>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</si>
  <si>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</si>
  <si>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</si>
  <si>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</si>
  <si>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</si>
  <si>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</si>
  <si>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</si>
  <si>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</si>
  <si>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</si>
  <si>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</si>
  <si>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</si>
  <si>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</si>
  <si>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</si>
  <si>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</si>
  <si>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</si>
  <si>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</si>
  <si>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</si>
  <si>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</si>
  <si>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</si>
  <si>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</si>
  <si>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</si>
  <si>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</si>
  <si>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</si>
  <si>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</si>
  <si>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</si>
  <si>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</si>
  <si>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</si>
  <si>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</si>
  <si>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</si>
  <si>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</si>
  <si>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</si>
  <si>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</si>
  <si>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</si>
  <si>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</si>
  <si>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</si>
  <si>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</si>
  <si>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</si>
  <si>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</si>
  <si>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</si>
  <si>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</si>
  <si>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</si>
  <si>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</si>
  <si>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</si>
  <si>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</si>
  <si>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</si>
  <si>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</si>
  <si>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</si>
  <si>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</si>
  <si>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</si>
  <si>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</si>
  <si>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</si>
  <si>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</si>
  <si>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</si>
  <si>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</si>
  <si>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</si>
  <si>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</si>
  <si>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</si>
  <si>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</si>
  <si>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</si>
  <si>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</si>
  <si>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</si>
  <si>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</si>
  <si>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</si>
  <si>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</si>
  <si>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</si>
  <si>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</si>
  <si>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</si>
  <si>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</si>
  <si>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</si>
  <si>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</si>
  <si>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</si>
  <si>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</si>
  <si>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</si>
  <si>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</si>
  <si>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</si>
  <si>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</si>
  <si>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</si>
  <si>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</si>
  <si>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</si>
  <si>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</si>
  <si>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</si>
  <si>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</si>
  <si>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</si>
  <si>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</si>
  <si>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</si>
  <si>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</si>
  <si>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</si>
  <si>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</si>
  <si>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</si>
  <si>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</si>
  <si>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</si>
  <si>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</si>
  <si>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</si>
  <si>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</si>
  <si>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</si>
  <si>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</si>
  <si>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</si>
  <si>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</si>
  <si>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</si>
  <si>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</si>
  <si>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</si>
  <si>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</si>
  <si>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</si>
  <si>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</si>
  <si>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</si>
  <si>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</si>
  <si>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</si>
  <si>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</si>
  <si>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</si>
  <si>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</si>
  <si>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</si>
  <si>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</si>
  <si>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</si>
  <si>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</si>
  <si>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</si>
  <si>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</si>
  <si>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</si>
  <si>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</si>
  <si>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</si>
  <si>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</si>
  <si>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</si>
  <si>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</si>
  <si>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</si>
  <si>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</si>
  <si>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</si>
  <si>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</si>
  <si>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</si>
  <si>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</si>
  <si>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</si>
  <si>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</si>
  <si>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</si>
  <si>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</si>
  <si>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</si>
  <si>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</si>
  <si>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</si>
  <si>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</si>
  <si>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</si>
  <si>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</si>
  <si>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</si>
  <si>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</si>
  <si>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</si>
  <si>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</si>
  <si>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</si>
  <si>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</si>
  <si>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</si>
  <si>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</si>
  <si>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</si>
  <si>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</si>
  <si>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</si>
  <si>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</si>
  <si>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</si>
  <si>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</si>
  <si>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</si>
  <si>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</si>
  <si>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</si>
  <si>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</si>
  <si>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</si>
  <si>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</si>
  <si>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</si>
  <si>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</si>
  <si>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</si>
  <si>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</si>
  <si>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</si>
  <si>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</si>
  <si>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</si>
  <si>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</si>
  <si>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</si>
  <si>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</si>
  <si>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</si>
  <si>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</si>
  <si>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</si>
  <si>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</si>
  <si>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</si>
  <si>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</si>
  <si>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</si>
  <si>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</si>
  <si>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</si>
  <si>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</si>
  <si>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</si>
  <si>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</si>
  <si>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</si>
  <si>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</si>
  <si>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</si>
  <si>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</si>
  <si>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</si>
  <si>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</si>
  <si>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</si>
  <si>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</si>
  <si>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</si>
  <si>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</si>
  <si>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</si>
  <si>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</si>
  <si>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</si>
  <si>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</si>
  <si>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</si>
  <si>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</si>
  <si>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</si>
  <si>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</si>
  <si>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</si>
  <si>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</si>
  <si>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</si>
  <si>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</si>
  <si>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</si>
  <si>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</si>
  <si>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</si>
  <si>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</si>
  <si>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</si>
  <si>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</si>
  <si>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</si>
  <si>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</si>
  <si>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</si>
  <si>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</si>
  <si>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</si>
  <si>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</si>
  <si>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</si>
  <si>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</si>
  <si>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</si>
  <si>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</si>
  <si>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</si>
  <si>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</si>
  <si>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</si>
  <si>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</si>
  <si>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</si>
  <si>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</si>
  <si>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</si>
  <si>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</si>
  <si>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</si>
  <si>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</si>
  <si>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</si>
  <si>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</si>
  <si>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</si>
  <si>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</si>
  <si>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</si>
  <si>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</si>
  <si>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</si>
  <si>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</si>
  <si>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</si>
  <si>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</si>
  <si>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</si>
  <si>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</si>
  <si>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</si>
  <si>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</si>
  <si>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</si>
  <si>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</si>
  <si>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</si>
  <si>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</si>
  <si>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</si>
  <si>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</si>
  <si>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</si>
  <si>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</si>
  <si>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</si>
  <si>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</si>
  <si>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</si>
  <si>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</si>
  <si>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</si>
  <si>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</si>
  <si>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</si>
  <si>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</si>
  <si>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</si>
  <si>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</si>
  <si>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</si>
  <si>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</si>
  <si>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</si>
  <si>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</si>
  <si>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</si>
  <si>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</si>
  <si>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</si>
  <si>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</si>
  <si>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</si>
  <si>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</si>
  <si>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</si>
  <si>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</si>
  <si>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</si>
  <si>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</si>
  <si>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</si>
  <si>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</si>
  <si>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</si>
  <si>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</si>
  <si>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</si>
  <si>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</si>
  <si>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</si>
  <si>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</si>
  <si>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</si>
  <si>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</si>
  <si>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</si>
  <si>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</si>
  <si>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</si>
  <si>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</si>
  <si>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</si>
  <si>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</si>
  <si>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</si>
  <si>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</si>
  <si>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</si>
  <si>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</si>
  <si>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</si>
  <si>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</si>
  <si>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</si>
  <si>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</si>
  <si>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</si>
  <si>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</si>
  <si>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</si>
  <si>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</si>
  <si>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</si>
  <si>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</si>
  <si>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</si>
  <si>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</si>
  <si>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</si>
  <si>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</si>
  <si>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</si>
  <si>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</si>
  <si>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</si>
  <si>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</si>
  <si>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</si>
  <si>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</si>
  <si>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</si>
  <si>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</si>
  <si>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</si>
  <si>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</si>
  <si>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</si>
  <si>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</si>
  <si>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</si>
  <si>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</si>
  <si>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</si>
  <si>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</si>
  <si>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</si>
  <si>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</si>
  <si>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</si>
  <si>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</si>
  <si>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</si>
  <si>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</si>
  <si>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</si>
  <si>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</si>
  <si>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</si>
  <si>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</si>
  <si>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</si>
  <si>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</si>
  <si>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</si>
  <si>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</si>
  <si>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</si>
  <si>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</si>
  <si>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</si>
  <si>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</si>
  <si>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</si>
  <si>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</si>
  <si>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</si>
  <si>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</si>
  <si>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</si>
  <si>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</si>
  <si>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</si>
  <si>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</si>
  <si>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</si>
  <si>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</si>
  <si>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</si>
  <si>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</si>
  <si>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</si>
  <si>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</si>
  <si>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</si>
  <si>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</si>
  <si>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</si>
  <si>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</si>
  <si>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</si>
  <si>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</si>
  <si>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</si>
  <si>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</si>
  <si>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</si>
  <si>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</si>
  <si>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</si>
  <si>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</si>
  <si>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</si>
  <si>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</si>
  <si>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</si>
  <si>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</si>
  <si>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</si>
  <si>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</si>
  <si>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</si>
  <si>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</si>
  <si>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</si>
  <si>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</si>
  <si>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</si>
  <si>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</si>
  <si>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</si>
  <si>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</si>
  <si>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</si>
  <si>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</si>
  <si>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</si>
  <si>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</si>
  <si>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</si>
  <si>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</si>
  <si>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</si>
  <si>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</si>
  <si>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</si>
  <si>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</si>
  <si>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</si>
  <si>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</si>
  <si>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</si>
  <si>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</si>
  <si>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</si>
  <si>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</si>
  <si>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</si>
  <si>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</si>
  <si>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</si>
  <si>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</si>
  <si>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</si>
  <si>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</si>
  <si>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</si>
  <si>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</si>
  <si>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</si>
  <si>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</si>
  <si>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</si>
  <si>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</si>
  <si>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</si>
  <si>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</si>
  <si>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</si>
  <si>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</si>
  <si>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</si>
  <si>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</si>
  <si>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</si>
  <si>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</si>
  <si>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</si>
  <si>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</si>
  <si>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</si>
  <si>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</si>
  <si>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</si>
  <si>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</si>
  <si>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</si>
  <si>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</si>
  <si>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</si>
  <si>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</si>
  <si>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</si>
  <si>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</si>
  <si>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</si>
  <si>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</si>
  <si>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</si>
  <si>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</si>
  <si>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</si>
  <si>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</si>
  <si>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</si>
  <si>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</si>
  <si>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</si>
  <si>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</si>
  <si>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</si>
  <si>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</si>
  <si>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</si>
  <si>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</si>
  <si>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</si>
  <si>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</si>
  <si>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</si>
  <si>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</si>
  <si>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</si>
  <si>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</si>
  <si>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</si>
  <si>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</si>
  <si>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</si>
  <si>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</si>
  <si>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</si>
  <si>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</si>
  <si>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</si>
  <si>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</si>
  <si>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</si>
  <si>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</si>
  <si>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</si>
  <si>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</si>
  <si>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</si>
  <si>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</si>
  <si>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</si>
  <si>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</si>
  <si>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</si>
  <si>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</si>
  <si>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</si>
  <si>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</si>
  <si>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</si>
  <si>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</si>
  <si>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</si>
  <si>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</si>
  <si>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</si>
  <si>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</si>
  <si>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</si>
  <si>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</si>
  <si>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</si>
  <si>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</si>
  <si>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</si>
  <si>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</si>
  <si>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</si>
  <si>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</si>
  <si>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</si>
  <si>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</si>
  <si>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</si>
  <si>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</si>
  <si>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</si>
  <si>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</si>
  <si>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</si>
  <si>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</si>
  <si>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</si>
  <si>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</si>
  <si>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</si>
  <si>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</si>
  <si>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</si>
  <si>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</si>
  <si>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</si>
  <si>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</si>
  <si>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</si>
  <si>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</si>
  <si>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</si>
  <si>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</si>
  <si>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</si>
  <si>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</si>
  <si>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</si>
  <si>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</si>
  <si>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</si>
  <si>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</si>
  <si>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</si>
  <si>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</si>
  <si>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</si>
  <si>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</si>
  <si>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</si>
  <si>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</si>
  <si>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</si>
  <si>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</si>
  <si>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</si>
  <si>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</si>
  <si>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</si>
  <si>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</si>
  <si>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</si>
  <si>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</si>
  <si>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</si>
  <si>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</si>
  <si>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</si>
  <si>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</si>
  <si>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</si>
  <si>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</si>
  <si>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</si>
  <si>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</si>
  <si>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</si>
  <si>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</si>
  <si>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</si>
  <si>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</si>
  <si>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</si>
  <si>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</si>
  <si>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</si>
  <si>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</si>
  <si>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</si>
  <si>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</si>
  <si>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</si>
  <si>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</si>
  <si>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</si>
  <si>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</si>
  <si>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</si>
  <si>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</si>
  <si>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</si>
  <si>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</si>
  <si>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</si>
  <si>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</si>
  <si>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</si>
  <si>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</si>
  <si>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</si>
  <si>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</si>
  <si>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</si>
  <si>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</si>
  <si>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</si>
  <si>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</si>
  <si>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</si>
  <si>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</si>
  <si>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</si>
  <si>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</si>
  <si>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</si>
  <si>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</si>
  <si>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</si>
  <si>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</si>
  <si>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</si>
  <si>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</si>
  <si>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</si>
  <si>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</si>
  <si>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</si>
  <si>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</si>
  <si>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</si>
  <si>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</si>
  <si>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</si>
  <si>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</si>
  <si>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</si>
  <si>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</si>
  <si>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</si>
  <si>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</si>
  <si>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</si>
  <si>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</si>
  <si>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</si>
  <si>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</si>
  <si>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</si>
  <si>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</si>
  <si>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</si>
  <si>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</si>
  <si>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</si>
  <si>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</si>
  <si>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</si>
  <si>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</si>
  <si>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</si>
  <si>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</si>
  <si>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</si>
  <si>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</si>
  <si>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</si>
  <si>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</si>
  <si>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</si>
  <si>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</si>
  <si>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</si>
  <si>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</si>
  <si>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</si>
  <si>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</si>
  <si>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</si>
  <si>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</si>
  <si>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</si>
  <si>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</si>
  <si>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东南</t>
    <phoneticPr fontId="24" type="noConversion"/>
  </si>
  <si>
    <t>西南</t>
  </si>
  <si>
    <t>西南</t>
    <phoneticPr fontId="24" type="noConversion"/>
  </si>
  <si>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</si>
  <si>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</si>
  <si>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</si>
  <si>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</si>
  <si>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</si>
  <si>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</si>
  <si>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</si>
  <si>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</si>
  <si>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</si>
  <si>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</si>
  <si>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</si>
  <si>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</si>
  <si>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</si>
  <si>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</si>
  <si>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</si>
  <si>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精装修</t>
  </si>
  <si>
    <t>物业公司管理</t>
  </si>
  <si>
    <t>不临65条商业街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</si>
</sst>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181" fontId="44" fillId="0" borderId="37"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473901</xdr:colOff>
      <xdr:row>22</xdr:row>
      <xdr:rowOff>27763</xdr:rowOff>
    </xdr:to>
    <xdr:pic>
      <xdr:nvPicPr>
        <xdr:cNvPr id="2" name="图片 1">
          <a:extLst>
            <a:ext uri="{FF2B5EF4-FFF2-40B4-BE49-F238E27FC236}">
              <a16:creationId xmlns:a16="http://schemas.microsoft.com/office/drawing/2014/main" xmlns="" id="{FE8E2DC7-BF78-406B-9B15-604975E9CBDB}"/>
            </a:ext>
          </a:extLst>
        </xdr:cNvPr>
        <xdr:cNvPicPr>
          <a:picLocks noChangeAspect="1"/>
        </xdr:cNvPicPr>
      </xdr:nvPicPr>
      <xdr:blipFill>
        <a:blip xmlns:r="http://schemas.openxmlformats.org/officeDocument/2006/relationships" r:embed="rId1"/>
        <a:stretch>
          <a:fillRect/>
        </a:stretch>
      </xdr:blipFill>
      <xdr:spPr>
        <a:xfrm>
          <a:off x="0" y="0"/>
          <a:ext cx="7331901" cy="3799663"/>
        </a:xfrm>
        <a:prstGeom prst="rect">
          <a:avLst/>
        </a:prstGeom>
      </xdr:spPr>
    </xdr:pic>
    <xdr:clientData/>
  </xdr:twoCellAnchor>
  <xdr:twoCellAnchor editAs="oneCell">
    <xdr:from>
      <xdr:col>10</xdr:col>
      <xdr:colOff>523875</xdr:colOff>
      <xdr:row>0</xdr:row>
      <xdr:rowOff>0</xdr:rowOff>
    </xdr:from>
    <xdr:to>
      <xdr:col>25</xdr:col>
      <xdr:colOff>265234</xdr:colOff>
      <xdr:row>27</xdr:row>
      <xdr:rowOff>128415</xdr:rowOff>
    </xdr:to>
    <xdr:pic>
      <xdr:nvPicPr>
        <xdr:cNvPr id="3" name="图片 2">
          <a:extLst>
            <a:ext uri="{FF2B5EF4-FFF2-40B4-BE49-F238E27FC236}">
              <a16:creationId xmlns:a16="http://schemas.microsoft.com/office/drawing/2014/main" xmlns="" id="{AFC5D440-89F8-4B4C-9CFB-357B1D350026}"/>
            </a:ext>
          </a:extLst>
        </xdr:cNvPr>
        <xdr:cNvPicPr>
          <a:picLocks noChangeAspect="1"/>
        </xdr:cNvPicPr>
      </xdr:nvPicPr>
      <xdr:blipFill>
        <a:blip xmlns:r="http://schemas.openxmlformats.org/officeDocument/2006/relationships" r:embed="rId2"/>
        <a:stretch>
          <a:fillRect/>
        </a:stretch>
      </xdr:blipFill>
      <xdr:spPr>
        <a:xfrm>
          <a:off x="7381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a16="http://schemas.microsoft.com/office/drawing/2014/main" xmlns=""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a16="http://schemas.microsoft.com/office/drawing/2014/main" xmlns=""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a16="http://schemas.microsoft.com/office/drawing/2014/main" xmlns=""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a16="http://schemas.microsoft.com/office/drawing/2014/main" xmlns=""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a16="http://schemas.microsoft.com/office/drawing/2014/main" xmlns=""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a16="http://schemas.microsoft.com/office/drawing/2014/main" xmlns=""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a16="http://schemas.microsoft.com/office/drawing/2014/main" xmlns=""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2023年5月19日（评估专业人员实地查勘之日）</v>
      </c>
    </row>
    <row r="13" spans="1:2" s="1203" customFormat="1">
      <c r="A13" s="1201" t="s">
        <v>529</v>
      </c>
      <c r="B13" s="120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142.19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1" t="s">
        <v>2583</v>
      </c>
      <c r="J2" s="3501"/>
      <c r="K2" s="3501"/>
      <c r="L2" s="3501"/>
      <c r="M2" s="3501"/>
      <c r="N2" s="3501"/>
      <c r="O2" s="3501"/>
      <c r="P2" s="3501"/>
      <c r="Q2" s="3501"/>
      <c r="R2" s="3501"/>
    </row>
    <row r="3" spans="1:18">
      <c r="A3" s="3018" t="s">
        <v>2504</v>
      </c>
      <c r="B3" s="3019">
        <f>项目基本情况!D3</f>
        <v>45065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3.58</v>
      </c>
      <c r="D5" s="3023">
        <f>IF(ISERROR(ROUND(POWER(1+E5,A5-C5)*(POWER(1+E5,C5)-1)/(POWER(1+E5,A5)-1),3)),0,ROUND(POWER(1+E5,A5-C5)*(POWER(1+E5,C5)-1)/(POWER(1+E5,A5)-1),4))</f>
        <v>0.16550000000000001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13.59</v>
      </c>
      <c r="D6" s="3023">
        <f>IF(ISERROR(ROUND(POWER(1+E6,A6-C6)*(POWER(1+E6,C6)-1)/(POWER(1+E6,A6)-1),3)),0,ROUND(POWER(1+E6,A6-C6)*(POWER(1+E6,C6)-1)/(POWER(1+E6,A6)-1),4))</f>
        <v>0.48080000000000001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45065</v>
      </c>
      <c r="C3" s="2372" t="s">
        <v>2171</v>
      </c>
      <c r="D3" s="2371">
        <f>B3</f>
        <v>45065</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v>1997</v>
      </c>
      <c r="H7" s="2662"/>
      <c r="I7" s="2662"/>
      <c r="J7" s="2437"/>
      <c r="K7" s="2614"/>
      <c r="L7" s="2611"/>
      <c r="M7" s="2611"/>
      <c r="N7" s="2437"/>
      <c r="O7" s="2448"/>
      <c r="P7" s="2437"/>
      <c r="Q7" s="2437"/>
      <c r="R7" s="2437"/>
    </row>
    <row r="8" spans="1:30">
      <c r="A8" s="2386" t="s">
        <v>2176</v>
      </c>
      <c r="B8" s="2387" t="s">
        <v>3381</v>
      </c>
      <c r="C8" s="2388"/>
      <c r="D8" s="3505" t="s">
        <v>2177</v>
      </c>
      <c r="E8" s="2389"/>
      <c r="F8" s="2390"/>
      <c r="G8" s="2661">
        <f>G7+70</f>
        <v>2067</v>
      </c>
      <c r="H8" s="2661"/>
      <c r="I8" s="2661"/>
      <c r="J8" s="2437"/>
      <c r="K8" s="2612"/>
      <c r="L8" s="2611"/>
      <c r="M8" s="2611"/>
      <c r="N8" s="2437"/>
      <c r="O8" s="2448"/>
      <c r="P8" s="2437"/>
      <c r="Q8" s="2437"/>
      <c r="R8" s="2437"/>
    </row>
    <row r="9" spans="1:30" ht="13.5" thickBot="1">
      <c r="A9" s="2391" t="s">
        <v>2178</v>
      </c>
      <c r="B9" s="2392" t="s">
        <v>3382</v>
      </c>
      <c r="C9" s="2393"/>
      <c r="D9" s="3506"/>
      <c r="E9" s="2392"/>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v>61112</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43.96</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12"/>
      <c r="C16" s="3513"/>
      <c r="D16" s="3514"/>
      <c r="E16" s="2411" t="s">
        <v>2194</v>
      </c>
      <c r="F16" s="3515"/>
      <c r="G16" s="3516"/>
      <c r="H16" s="3516"/>
      <c r="I16" s="3517"/>
      <c r="J16" s="2437"/>
      <c r="K16" s="2615"/>
      <c r="L16" s="2449"/>
      <c r="M16" s="2449"/>
      <c r="N16" s="2507"/>
      <c r="O16" s="2449"/>
      <c r="P16" s="2507"/>
      <c r="Q16" s="2437"/>
      <c r="R16" s="2437"/>
    </row>
    <row r="17" spans="1:28">
      <c r="A17" s="313" t="s">
        <v>2195</v>
      </c>
      <c r="B17" s="302" t="s">
        <v>2196</v>
      </c>
      <c r="C17" s="8">
        <f>'数据-汇总表'!E3</f>
        <v>142.19</v>
      </c>
      <c r="D17" s="2320" t="s">
        <v>2197</v>
      </c>
      <c r="E17" s="3518" t="s">
        <v>2198</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21" t="s">
        <v>2202</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8" t="s">
        <v>2206</v>
      </c>
      <c r="C20" s="3509"/>
      <c r="D20" s="3510" t="s">
        <v>2207</v>
      </c>
      <c r="E20" s="3511"/>
      <c r="F20" s="2645" t="s">
        <v>1056</v>
      </c>
      <c r="G20" s="2662"/>
      <c r="H20" s="2662"/>
      <c r="I20" s="2662"/>
      <c r="J20" s="2437"/>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2218</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24" t="s">
        <v>2228</v>
      </c>
      <c r="T34" s="2426" t="str">
        <f>NUMBERSTRING(7-K34,1)&amp;"通"</f>
        <v>七通</v>
      </c>
      <c r="U34" s="2437"/>
      <c r="V34" s="2437"/>
    </row>
    <row r="35" spans="1:30">
      <c r="A35" s="2427"/>
      <c r="B35" s="3531" t="s">
        <v>2229</v>
      </c>
      <c r="C35" s="3531"/>
      <c r="D35" s="3531"/>
      <c r="E35" s="3531"/>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194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142.19</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142.19</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142.19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142.19</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3390</v>
      </c>
      <c r="D19" s="45">
        <f>ROUND($D$3*E19/$E$3,2)</f>
        <v>0</v>
      </c>
      <c r="E19" s="53">
        <f t="shared" ref="E19:E26" si="1">SUM(F19:G19)</f>
        <v>142.19</v>
      </c>
      <c r="F19" s="2793">
        <f>'数据-基础表'!I13</f>
        <v>142.19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142.19</v>
      </c>
      <c r="F31" s="677">
        <f>F27+F30</f>
        <v>142.19</v>
      </c>
      <c r="G31" s="678">
        <f>G27+G30</f>
        <v>0</v>
      </c>
      <c r="H31" s="2657"/>
      <c r="I31" s="2657"/>
      <c r="J31" s="2657"/>
      <c r="K31" s="2657"/>
      <c r="L31" s="2657"/>
      <c r="M31" s="2657"/>
      <c r="N31" s="2657"/>
      <c r="O31" s="2657"/>
      <c r="P31" s="2657"/>
    </row>
    <row r="32" spans="1:19">
      <c r="A32" s="1643"/>
      <c r="B32" s="1643" t="s">
        <v>1159</v>
      </c>
      <c r="C32" s="1643"/>
      <c r="D32" s="1643"/>
      <c r="E32" s="1053">
        <f>SUMIF(C19:C26,"*住宅*",E19:E26)</f>
        <v>142.19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33"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3378</v>
      </c>
      <c r="D6" s="858">
        <f>SUMIF(项目基本情况!C$12:I$12,C6,项目基本情况!C$14:I$14)</f>
        <v>70</v>
      </c>
      <c r="E6" s="857">
        <f>IF(B6="","",SUMIF(项目基本情况!C$12:I$12,C6,项目基本情况!C$13:I$13))</f>
        <v>61112</v>
      </c>
      <c r="F6" s="64">
        <f>SUMIF(项目基本情况!C$12:I$12,C6,项目基本情况!C$15:I$15)</f>
        <v>43.96</v>
      </c>
      <c r="G6" s="65">
        <f>IF(ISERROR(ROUND(POWER(1+H6,D6-F6)*(POWER(1+H6,F6)-1)/(POWER(1+H6,D6)-1),3)),0,ROUND(POWER(1+H6,D6-F6)*(POWER(1+H6,F6)-1)/(POWER(1+H6,D6)-1),3))</f>
        <v>0.89700000000000002</v>
      </c>
      <c r="H6" s="732">
        <v>4.4999999999999998E-2</v>
      </c>
      <c r="I6" s="732">
        <v>4.4999999999999998E-2</v>
      </c>
      <c r="J6" s="66">
        <v>6.5000000000000002E-2</v>
      </c>
      <c r="K6" s="1030">
        <f>SUMIF('数据-汇总表'!C$19:C$33,A6,'数据-汇总表'!E$19:E$33)</f>
        <v>142.19</v>
      </c>
      <c r="L6" s="3456">
        <v>4000</v>
      </c>
      <c r="M6" s="67">
        <f t="shared" ref="M6:M14" si="0">ROUND(K6*L6/10000,0)</f>
        <v>57</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15000</v>
      </c>
      <c r="V6" s="70">
        <v>0.02</v>
      </c>
      <c r="W6" s="70">
        <v>0.1</v>
      </c>
      <c r="X6" s="1040"/>
      <c r="Y6" s="71">
        <f>N6</f>
        <v>0.63500000000000001</v>
      </c>
      <c r="Z6" s="72"/>
      <c r="AA6" s="66"/>
      <c r="AB6" s="66"/>
      <c r="AC6" s="1040"/>
      <c r="AD6" s="73"/>
      <c r="AE6" s="1041">
        <f ca="1">IF(AN6="",0,SUMIF(INDIRECT("'"&amp;AN6&amp;"'"&amp;"!E:E"),$AE$5,INDIRECT("'"&amp;AN6&amp;"'"&amp;"!F:F")))</f>
        <v>43.96</v>
      </c>
      <c r="AF6" s="1348"/>
      <c r="AG6" s="138">
        <f>IF(AF6="",0,AE6-AF6)</f>
        <v>0</v>
      </c>
      <c r="AH6" s="74">
        <v>1</v>
      </c>
      <c r="AI6" s="76">
        <v>12</v>
      </c>
      <c r="AJ6" s="77"/>
      <c r="AK6" s="78">
        <v>1.4999999999999999E-2</v>
      </c>
      <c r="AL6" s="79">
        <v>2E-3</v>
      </c>
      <c r="AM6" s="80">
        <v>1.4999999999999999E-2</v>
      </c>
      <c r="AN6" s="1715" t="s">
        <v>3397</v>
      </c>
      <c r="AO6" s="52">
        <f ca="1">SUMIF(INDIRECT("'"&amp;AN6&amp;"'"&amp;"!A:A"),"总价",INDIRECT("'"&amp;AN6&amp;"'"&amp;"!B:B"))</f>
        <v>367.0523</v>
      </c>
      <c r="AP6" s="1716">
        <f>IF(C6="住宅",K6*L6,0)</f>
        <v>568760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4.4999999999999998E-2</v>
      </c>
      <c r="I16" s="91"/>
      <c r="J16" s="91"/>
      <c r="K16" s="92">
        <f>SUM(K6:K15)</f>
        <v>142.19</v>
      </c>
      <c r="L16" s="93">
        <f>ROUND(M16*10000/SUM(K6:K14),0)</f>
        <v>4009</v>
      </c>
      <c r="M16" s="93">
        <f>SUM(M6:M14)</f>
        <v>57</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f>U6*V6</f>
        <v>300</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v>1997</v>
      </c>
      <c r="M21" s="2669">
        <f>ROUND(1-(2023-L21)/60,2)</f>
        <v>0.56999999999999995</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v>0.7</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22750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7" t="s">
        <v>2286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142.19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1142.0985000000001</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142.19</v>
      </c>
      <c r="C14" s="2516"/>
      <c r="D14" s="2516">
        <f ca="1">ROUND(E14*B14/10000,4)</f>
        <v>1142.0985000000001</v>
      </c>
      <c r="E14" s="2516">
        <f ca="1">结果表!G20</f>
        <v>80322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3423</v>
      </c>
      <c r="D4" s="1756" t="s">
        <v>3422</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7</v>
      </c>
      <c r="D14" s="3610">
        <f>10-C14</f>
        <v>3</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1" t="s">
        <v>2131</v>
      </c>
      <c r="F18" s="3642"/>
      <c r="G18" s="3642"/>
      <c r="H18" s="3642"/>
      <c r="I18" s="3642"/>
      <c r="K18" s="302" t="s">
        <v>1289</v>
      </c>
      <c r="L18" s="302">
        <f>IF(C1="",'数据-汇总表'!E3,SUMIF(项目类型,C1,'数据-汇总表'!E17:E26)+SUMIF(项目类型,C1,'数据-汇总表'!I17:I26))</f>
        <v>142.19</v>
      </c>
      <c r="M18" s="302">
        <f>IF(C1="",'数据-汇总表'!E3,SUMIF(项目类型,C1,'数据-汇总表'!E17:E26))</f>
        <v>142.19</v>
      </c>
    </row>
    <row r="19" spans="1:36" ht="15">
      <c r="A19" s="1761" t="s">
        <v>1290</v>
      </c>
      <c r="B19" s="1762" t="s">
        <v>1291</v>
      </c>
      <c r="C19" s="134">
        <f ca="1">SUMIF(INDIRECT("'"&amp;C4&amp;"'"&amp;"!A:A"),结果表!B19,INDIRECT("'"&amp;C4&amp;"'"&amp;"!B:B"))</f>
        <v>1303.6690000000001</v>
      </c>
      <c r="D19" s="135">
        <f ca="1">SUMIF(INDIRECT("'"&amp;D4&amp;"'"&amp;"!A:A"),结果表!B19,INDIRECT("'"&amp;D4&amp;"'"&amp;"!B:B"))</f>
        <v>765.07510000000002</v>
      </c>
      <c r="E19" s="1761" t="s">
        <v>1292</v>
      </c>
      <c r="F19" s="1762" t="s">
        <v>1291</v>
      </c>
      <c r="G19" s="136">
        <f ca="1">ROUND(C19*$C$18+D19*$D$18,0)</f>
        <v>1142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91685</v>
      </c>
      <c r="D20" s="138">
        <f ca="1">SUMIF(INDIRECT("'"&amp;D4&amp;"'"&amp;"!A:A"),结果表!B20,INDIRECT("'"&amp;D4&amp;"'"&amp;"!B:B"))</f>
        <v>53807</v>
      </c>
      <c r="E20" s="1764"/>
      <c r="F20" s="1026" t="s">
        <v>1295</v>
      </c>
      <c r="G20" s="139">
        <f ca="1">ROUND(C20*$C$18+D20*$D$18,0)</f>
        <v>80322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0.70397520452567353</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80322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45065</v>
      </c>
      <c r="N47" s="3554"/>
      <c r="O47" s="3554"/>
    </row>
    <row r="48" spans="1:15" ht="25.5">
      <c r="A48" s="3614" t="s">
        <v>1338</v>
      </c>
      <c r="B48" s="3615"/>
      <c r="C48" s="361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52" t="s">
        <v>1340</v>
      </c>
      <c r="L48" s="3552"/>
      <c r="M48" s="3555" t="e">
        <f ca="1">H101</f>
        <v>#REF!</v>
      </c>
      <c r="N48" s="3555"/>
      <c r="O48" s="3555"/>
    </row>
    <row r="49" spans="1:35" ht="25.5" customHeight="1">
      <c r="A49" s="2331" t="s">
        <v>1341</v>
      </c>
      <c r="B49" s="3600" t="s">
        <v>1342</v>
      </c>
      <c r="C49" s="3600"/>
      <c r="D49" s="1590">
        <v>0</v>
      </c>
      <c r="E49" s="324" t="s">
        <v>1343</v>
      </c>
      <c r="F49" s="2422" t="s">
        <v>28</v>
      </c>
      <c r="G49" s="3583"/>
      <c r="H49" s="2308" t="s">
        <v>2134</v>
      </c>
      <c r="I49" s="2309"/>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2"/>
      <c r="G50" s="3584"/>
      <c r="H50" s="2310" t="s">
        <v>2135</v>
      </c>
      <c r="I50" s="2309"/>
      <c r="J50" s="3551" t="s">
        <v>1345</v>
      </c>
      <c r="K50" s="3551"/>
      <c r="L50" s="3551"/>
      <c r="M50" s="3551"/>
      <c r="N50" s="3551"/>
      <c r="O50" s="3551"/>
    </row>
    <row r="51" spans="1:35" ht="20.45" customHeight="1">
      <c r="A51" s="2551"/>
      <c r="B51" s="3600" t="s">
        <v>1346</v>
      </c>
      <c r="C51" s="3600"/>
      <c r="D51" s="1087"/>
      <c r="E51" s="327"/>
      <c r="F51" s="2422"/>
      <c r="G51" s="3585"/>
      <c r="H51" s="2310" t="s">
        <v>2136</v>
      </c>
      <c r="I51" s="2309"/>
      <c r="J51" s="2522" t="s">
        <v>1347</v>
      </c>
      <c r="K51" s="3552" t="s">
        <v>1348</v>
      </c>
      <c r="L51" s="3552"/>
      <c r="M51" s="2522" t="s">
        <v>1349</v>
      </c>
      <c r="N51" s="2522" t="s">
        <v>1350</v>
      </c>
      <c r="O51" s="2522" t="s">
        <v>1351</v>
      </c>
    </row>
    <row r="52" spans="1:35" ht="24" customHeight="1">
      <c r="A52" s="2333" t="s">
        <v>1352</v>
      </c>
      <c r="B52" s="3600" t="s">
        <v>1353</v>
      </c>
      <c r="C52" s="3600"/>
      <c r="D52" s="1087" t="e">
        <f ca="1">ROUND(D45*'数据-取费表'!B41/(1+'数据-取费表'!C42),0)</f>
        <v>#REF!</v>
      </c>
      <c r="E52" s="2332" t="s">
        <v>1354</v>
      </c>
      <c r="F52" s="2552">
        <f>'数据-取费表'!B41</f>
        <v>5.6000000000000001E-2</v>
      </c>
      <c r="G52" s="2553"/>
      <c r="H52" s="2542"/>
      <c r="I52" s="1807"/>
      <c r="J52" s="2521">
        <v>1</v>
      </c>
      <c r="K52" s="3577" t="s">
        <v>1355</v>
      </c>
      <c r="L52" s="3577"/>
      <c r="M52" s="2523" t="b">
        <f>D48</f>
        <v>0</v>
      </c>
      <c r="N52" s="2521" t="str">
        <f>E48</f>
        <v>销售额×税（费）率</v>
      </c>
      <c r="O52" s="2524">
        <f>F48</f>
        <v>5.6000000000000001E-2</v>
      </c>
    </row>
    <row r="53" spans="1:35" ht="12" customHeight="1">
      <c r="A53" s="2333" t="s">
        <v>1356</v>
      </c>
      <c r="B53" s="3601" t="s">
        <v>2291</v>
      </c>
      <c r="C53" s="3602"/>
      <c r="D53" s="1087" t="e">
        <f ca="1">ROUND(D45*'数据-取费表'!B41/(1+'数据-取费表'!C42),0)</f>
        <v>#REF!</v>
      </c>
      <c r="E53" s="2332" t="s">
        <v>1354</v>
      </c>
      <c r="F53" s="2552">
        <f>'数据-取费表'!B41</f>
        <v>5.6000000000000001E-2</v>
      </c>
      <c r="G53" s="2553"/>
      <c r="H53" s="2542"/>
      <c r="I53" s="1807"/>
      <c r="J53" s="2521">
        <v>2</v>
      </c>
      <c r="K53" s="3577" t="s">
        <v>1357</v>
      </c>
      <c r="L53" s="3577"/>
      <c r="M53" s="2523" t="e">
        <f t="shared" ref="M53:O54" ca="1" si="0">D55</f>
        <v>#REF!</v>
      </c>
      <c r="N53" s="2521" t="str">
        <f t="shared" si="0"/>
        <v>销售额×税（费）率</v>
      </c>
      <c r="O53" s="2524" t="str">
        <f t="shared" si="0"/>
        <v>免征</v>
      </c>
    </row>
    <row r="54" spans="1:35" ht="12" customHeight="1">
      <c r="A54" s="2333" t="s">
        <v>1358</v>
      </c>
      <c r="B54" s="3601" t="s">
        <v>2292</v>
      </c>
      <c r="C54" s="3602"/>
      <c r="D54" s="1087" t="e">
        <f ca="1">C68</f>
        <v>#REF!</v>
      </c>
      <c r="E54" s="327" t="s">
        <v>1359</v>
      </c>
      <c r="F54" s="2552">
        <f>'数据-取费表'!B41</f>
        <v>5.6000000000000001E-2</v>
      </c>
      <c r="G54" s="2553"/>
      <c r="H54" s="2554"/>
      <c r="I54" s="1807"/>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2" t="e">
        <f ca="1">IF(H55="个人住宅",0,ROUND(D45*I55,0))</f>
        <v>#REF!</v>
      </c>
      <c r="E55" s="2332"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39" t="str">
        <f>E59</f>
        <v>差额计税</v>
      </c>
      <c r="O55" s="2527">
        <f>F59</f>
        <v>0.01</v>
      </c>
    </row>
    <row r="56" spans="1:35" ht="24.75">
      <c r="A56" s="3637" t="s">
        <v>1363</v>
      </c>
      <c r="B56" s="3615"/>
      <c r="C56" s="3615"/>
      <c r="D56" s="2322" t="e">
        <f ca="1">IF(H56="个人住宅",D57,D58)</f>
        <v>#REF!</v>
      </c>
      <c r="E56" s="2332"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3"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0</v>
      </c>
      <c r="O57" s="2531"/>
      <c r="P57" s="2688" t="e">
        <f ca="1">N57/M49</f>
        <v>#VALUE!</v>
      </c>
    </row>
    <row r="58" spans="1:35" ht="24.75">
      <c r="A58" s="2333" t="s">
        <v>1352</v>
      </c>
      <c r="B58" s="3601" t="s">
        <v>1369</v>
      </c>
      <c r="C58" s="3600"/>
      <c r="D58" s="2322" t="e">
        <f ca="1">IF(H58="转让取得",C81,C97)</f>
        <v>#REF!</v>
      </c>
      <c r="E58" s="2332" t="s">
        <v>1364</v>
      </c>
      <c r="F58" s="302" t="s">
        <v>28</v>
      </c>
      <c r="G58" s="2553"/>
      <c r="H58" s="2556"/>
      <c r="I58" s="1808"/>
      <c r="J58" s="3577"/>
      <c r="K58" s="3577"/>
      <c r="L58" s="2528" t="s">
        <v>1370</v>
      </c>
      <c r="M58" s="2532"/>
      <c r="N58" s="2533" t="str">
        <f ca="1">NUMBERSTRING(INT(N57*10000),2)&amp;"元整"</f>
        <v>零元整</v>
      </c>
      <c r="O58" s="2534"/>
    </row>
    <row r="59" spans="1:35" ht="24.75"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0"/>
      <c r="D62" s="2020"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562" t="s">
        <v>2129</v>
      </c>
      <c r="H90" s="3563"/>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比较法-住宅</v>
      </c>
      <c r="D101" s="2584" t="str">
        <f>D4</f>
        <v>成本法 (元)</v>
      </c>
      <c r="E101" s="3556" t="s">
        <v>1431</v>
      </c>
      <c r="F101" s="3557"/>
      <c r="G101" s="1827" t="s">
        <v>1432</v>
      </c>
      <c r="H101" s="2593" t="e">
        <f ca="1">H118</f>
        <v>#REF!</v>
      </c>
      <c r="I101" s="129"/>
    </row>
    <row r="102" spans="1:35" ht="18.75" customHeight="1">
      <c r="A102" s="3588" t="s">
        <v>1433</v>
      </c>
      <c r="B102" s="2582" t="s">
        <v>1432</v>
      </c>
      <c r="C102" s="2583">
        <f ca="1">IF(D32="楼面单价",ROUND(C19,0),C19)</f>
        <v>1303.6690000000001</v>
      </c>
      <c r="D102" s="2584">
        <f ca="1">IF(D32="楼面单价",ROUND(D19,0),D19)</f>
        <v>765.07510000000002</v>
      </c>
      <c r="E102" s="3556"/>
      <c r="F102" s="3557"/>
      <c r="G102" s="1827" t="s">
        <v>1434</v>
      </c>
      <c r="H102" s="2553" t="e">
        <f ca="1">I118</f>
        <v>#REF!</v>
      </c>
      <c r="I102" s="129"/>
    </row>
    <row r="103" spans="1:35" ht="42.75" customHeight="1">
      <c r="A103" s="3588"/>
      <c r="B103" s="2582" t="s">
        <v>1434</v>
      </c>
      <c r="C103" s="2585">
        <f ca="1">C20</f>
        <v>91685</v>
      </c>
      <c r="D103" s="2586">
        <f ca="1">D20</f>
        <v>53807</v>
      </c>
      <c r="E103" s="3549" t="s">
        <v>1435</v>
      </c>
      <c r="F103" s="3550"/>
      <c r="G103" s="1828" t="s">
        <v>1436</v>
      </c>
      <c r="H103" s="2593">
        <f>IF(D36="正常操作",H104+H105+H106,H105+H106)</f>
        <v>0</v>
      </c>
      <c r="I103" s="129"/>
    </row>
    <row r="104" spans="1:35" ht="18.75" customHeight="1">
      <c r="A104" s="358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t="e">
        <f ca="1">IF(E107="——","——",H101-H103)</f>
        <v>#REF!</v>
      </c>
      <c r="I107" s="129"/>
    </row>
    <row r="108" spans="1:35" ht="18.75" customHeight="1">
      <c r="A108" s="129"/>
      <c r="B108" s="129"/>
      <c r="C108" s="129"/>
      <c r="D108" s="129"/>
      <c r="E108" s="3589"/>
      <c r="F108" s="3557"/>
      <c r="G108" s="1827"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142.19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2482312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20</v>
      </c>
      <c r="D45" s="235">
        <f ca="1">C47</f>
        <v>6.0000000000000001E-3</v>
      </c>
      <c r="E45" s="236" t="s">
        <v>1539</v>
      </c>
      <c r="F45" s="246">
        <f ca="1">F27</f>
        <v>0.3</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98</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35296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29314</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51" t="s">
        <v>2320</v>
      </c>
      <c r="K2" s="365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3" t="s">
        <v>2330</v>
      </c>
      <c r="K3" s="365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3" t="s">
        <v>2332</v>
      </c>
      <c r="K4" s="365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5" t="s">
        <v>2336</v>
      </c>
      <c r="B6" s="3656"/>
      <c r="C6" s="3657"/>
      <c r="D6" s="2868"/>
      <c r="E6" s="2869"/>
      <c r="F6" s="2870"/>
      <c r="G6" s="2871"/>
      <c r="H6" s="2846"/>
      <c r="I6" s="2847"/>
      <c r="J6" s="3658">
        <v>1</v>
      </c>
      <c r="K6" s="365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8"/>
      <c r="K7" s="366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2" t="s">
        <v>2350</v>
      </c>
      <c r="C8" s="3663"/>
      <c r="D8" s="2887" t="s">
        <v>2351</v>
      </c>
      <c r="E8" s="2888" t="s">
        <v>2352</v>
      </c>
      <c r="F8" s="2889" t="s">
        <v>2353</v>
      </c>
      <c r="G8" s="2890"/>
      <c r="H8" s="2846"/>
      <c r="I8" s="2847"/>
      <c r="J8" s="3658"/>
      <c r="K8" s="366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2" t="s">
        <v>2356</v>
      </c>
      <c r="C9" s="3663"/>
      <c r="D9" s="2887">
        <f>ROUND(D6*E9,0)</f>
        <v>0</v>
      </c>
      <c r="E9" s="2891"/>
      <c r="F9" s="2892" t="s">
        <v>2357</v>
      </c>
      <c r="G9" s="2871"/>
      <c r="H9" s="2846"/>
      <c r="I9" s="2847"/>
      <c r="J9" s="3658"/>
      <c r="K9" s="3660"/>
      <c r="L9" s="2881" t="s">
        <v>2358</v>
      </c>
      <c r="M9" s="2882"/>
      <c r="N9" s="2858"/>
      <c r="O9" s="2883"/>
      <c r="P9" s="2883"/>
      <c r="Q9" s="2884">
        <v>365</v>
      </c>
      <c r="R9" s="2885">
        <f t="shared" si="0"/>
        <v>0</v>
      </c>
      <c r="S9" s="2839"/>
      <c r="T9" s="2839"/>
      <c r="U9" s="2839"/>
      <c r="V9" s="2847"/>
    </row>
    <row r="10" spans="1:22" s="2851" customFormat="1" ht="13.15" customHeight="1">
      <c r="A10" s="2886">
        <v>2</v>
      </c>
      <c r="B10" s="3662" t="s">
        <v>2359</v>
      </c>
      <c r="C10" s="3663"/>
      <c r="D10" s="2887">
        <f>ROUND(D6*E10,0)</f>
        <v>0</v>
      </c>
      <c r="E10" s="2891"/>
      <c r="F10" s="2892" t="s">
        <v>2360</v>
      </c>
      <c r="G10" s="2871"/>
      <c r="H10" s="2846"/>
      <c r="I10" s="2847"/>
      <c r="J10" s="3658"/>
      <c r="K10" s="3660"/>
      <c r="L10" s="2881" t="s">
        <v>2361</v>
      </c>
      <c r="M10" s="2882"/>
      <c r="N10" s="2858"/>
      <c r="O10" s="2883"/>
      <c r="P10" s="2883"/>
      <c r="Q10" s="2884">
        <v>365</v>
      </c>
      <c r="R10" s="2885">
        <f t="shared" si="0"/>
        <v>0</v>
      </c>
      <c r="S10" s="2839"/>
      <c r="T10" s="2839"/>
      <c r="U10" s="2839"/>
      <c r="V10" s="2847"/>
    </row>
    <row r="11" spans="1:22" s="2851" customFormat="1" ht="13.15" customHeight="1">
      <c r="A11" s="2886">
        <v>3</v>
      </c>
      <c r="B11" s="3662" t="s">
        <v>2362</v>
      </c>
      <c r="C11" s="3663"/>
      <c r="D11" s="2887">
        <f>D12+D14+D15+D16</f>
        <v>0</v>
      </c>
      <c r="E11" s="2893" t="e">
        <f>D11/D6</f>
        <v>#DIV/0!</v>
      </c>
      <c r="F11" s="2889"/>
      <c r="G11" s="2890"/>
      <c r="H11" s="2846"/>
      <c r="I11" s="2847"/>
      <c r="J11" s="3658"/>
      <c r="K11" s="366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4" t="s">
        <v>2365</v>
      </c>
      <c r="C12" s="3665"/>
      <c r="D12" s="2895">
        <f>ROUND(D13*1.2%*(1-30%),0)</f>
        <v>0</v>
      </c>
      <c r="E12" s="2896">
        <v>1.2E-2</v>
      </c>
      <c r="F12" s="2889" t="s">
        <v>2366</v>
      </c>
      <c r="G12" s="2890"/>
      <c r="H12" s="2846"/>
      <c r="I12" s="2847"/>
      <c r="J12" s="3658"/>
      <c r="K12" s="366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8"/>
      <c r="K13" s="366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4" t="s">
        <v>2371</v>
      </c>
      <c r="C14" s="3665"/>
      <c r="D14" s="2895">
        <f>ROUND(E14*B5/10000,0)</f>
        <v>0</v>
      </c>
      <c r="E14" s="2884"/>
      <c r="F14" s="2889" t="s">
        <v>2372</v>
      </c>
      <c r="G14" s="2890"/>
      <c r="H14" s="2846"/>
      <c r="I14" s="2847"/>
      <c r="J14" s="3658"/>
      <c r="K14" s="366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4" t="s">
        <v>2375</v>
      </c>
      <c r="C15" s="3665"/>
      <c r="D15" s="2895">
        <f>ROUND(D6*E15,0)</f>
        <v>0</v>
      </c>
      <c r="E15" s="2896">
        <v>5.5E-2</v>
      </c>
      <c r="F15" s="2889" t="s">
        <v>2376</v>
      </c>
      <c r="G15" s="2871"/>
      <c r="H15" s="2846"/>
      <c r="I15" s="2847"/>
      <c r="J15" s="3658">
        <v>2</v>
      </c>
      <c r="K15" s="365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4" t="s">
        <v>2384</v>
      </c>
      <c r="C16" s="3665"/>
      <c r="D16" s="2906">
        <f>D6*E16</f>
        <v>0</v>
      </c>
      <c r="E16" s="2907"/>
      <c r="F16" s="2892" t="s">
        <v>2385</v>
      </c>
      <c r="G16" s="2871"/>
      <c r="H16" s="2846"/>
      <c r="I16" s="2847"/>
      <c r="J16" s="3658"/>
      <c r="K16" s="366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6" t="s">
        <v>2387</v>
      </c>
      <c r="C17" s="3667"/>
      <c r="D17" s="2909">
        <f>ROUND(D6*E17,0)</f>
        <v>0</v>
      </c>
      <c r="E17" s="2910"/>
      <c r="F17" s="2911" t="s">
        <v>2388</v>
      </c>
      <c r="G17" s="2871"/>
      <c r="H17" s="2846"/>
      <c r="I17" s="2847"/>
      <c r="J17" s="3658"/>
      <c r="K17" s="366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8"/>
      <c r="K18" s="366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8"/>
      <c r="K19" s="366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8">
        <v>3</v>
      </c>
      <c r="K20" s="365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8"/>
      <c r="K21" s="366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8"/>
      <c r="K22" s="366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8"/>
      <c r="K23" s="366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8"/>
      <c r="K24" s="366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1" t="s">
        <v>2320</v>
      </c>
      <c r="K32" s="365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3" t="s">
        <v>2330</v>
      </c>
      <c r="K33" s="365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3" t="s">
        <v>2332</v>
      </c>
      <c r="K34" s="36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8">
        <v>1</v>
      </c>
      <c r="K36" s="365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8"/>
      <c r="K37" s="366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8"/>
      <c r="K38" s="366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8"/>
      <c r="K39" s="366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8"/>
      <c r="K40" s="366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367.0523</v>
      </c>
      <c r="C2" s="1872" t="s">
        <v>1651</v>
      </c>
      <c r="D2" s="1873" t="s">
        <v>1652</v>
      </c>
      <c r="E2" s="2605">
        <f>SUM(E6:E13)</f>
        <v>142.19</v>
      </c>
      <c r="F2" s="2705"/>
      <c r="G2" s="1489"/>
      <c r="H2" s="1489"/>
      <c r="I2" s="1489"/>
      <c r="J2" s="1489"/>
      <c r="K2" s="1489"/>
      <c r="L2" s="1489"/>
      <c r="M2" s="1489"/>
      <c r="N2" s="1489"/>
      <c r="O2" s="1489"/>
      <c r="P2" s="1489"/>
      <c r="Q2" s="1489"/>
      <c r="R2" s="1489"/>
      <c r="S2" s="1489"/>
    </row>
    <row r="3" spans="1:22" ht="15.75">
      <c r="A3" s="1870" t="s">
        <v>686</v>
      </c>
      <c r="B3" s="2599">
        <f ca="1">ROUND(B2*10000/E2,0)</f>
        <v>25814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0" t="s">
        <v>1654</v>
      </c>
      <c r="C5" s="367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367.0523</v>
      </c>
      <c r="C6" s="1872" t="s">
        <v>1651</v>
      </c>
      <c r="D6" s="2707"/>
      <c r="E6" s="2604">
        <f>IF(OR(A6=0,F6="否"),0,'数据-取费表'!K6+'数据-取费表'!S6)</f>
        <v>142.19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3" zoomScale="90" zoomScaleNormal="60" zoomScaleSheetLayoutView="90" workbookViewId="0">
      <selection activeCell="G105" sqref="G10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3378</v>
      </c>
      <c r="E1" s="3424" t="s">
        <v>3421</v>
      </c>
      <c r="F1" s="1879" t="s">
        <v>3420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1303.6690000000001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91685</v>
      </c>
      <c r="C3" s="354" t="s">
        <v>1665</v>
      </c>
      <c r="D3" s="353">
        <f>IF(D1="",'数据-汇总表'!E3,SUMIF('数据-汇总表'!$C19:$C33,D1,'数据-汇总表'!$E19:$E33))</f>
        <v>142.19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3"/>
      <c r="M4" s="2714"/>
      <c r="N4" s="2714"/>
      <c r="O4" s="2714"/>
      <c r="P4" s="3694" t="s">
        <v>1672</v>
      </c>
      <c r="Q4" s="3695"/>
      <c r="R4" s="3677" t="s">
        <v>1668</v>
      </c>
      <c r="S4" s="3678"/>
      <c r="T4" s="3677" t="s">
        <v>1669</v>
      </c>
      <c r="U4" s="3678"/>
      <c r="V4" s="3702" t="s">
        <v>1670</v>
      </c>
      <c r="W4" s="3702"/>
      <c r="X4" s="1355"/>
      <c r="Y4" s="3677" t="s">
        <v>1672</v>
      </c>
      <c r="Z4" s="3678"/>
      <c r="AA4" s="3672" t="s">
        <v>1668</v>
      </c>
      <c r="AB4" s="3672" t="s">
        <v>1669</v>
      </c>
      <c r="AC4" s="3672" t="s">
        <v>1670</v>
      </c>
    </row>
    <row r="5" spans="1:29" ht="15">
      <c r="A5" s="358"/>
      <c r="B5" s="359"/>
      <c r="C5" s="3683" t="s">
        <v>1673</v>
      </c>
      <c r="D5" s="3684"/>
      <c r="E5" s="3681" t="s">
        <v>3424</v>
      </c>
      <c r="F5" s="3682"/>
      <c r="G5" s="3703" t="s">
        <v>3427</v>
      </c>
      <c r="H5" s="3684"/>
      <c r="I5" s="3683" t="s">
        <v>1676</v>
      </c>
      <c r="J5" s="3684"/>
      <c r="K5" s="1890"/>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1890"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45065</v>
      </c>
      <c r="D7" s="365">
        <v>100</v>
      </c>
      <c r="E7" s="366">
        <v>44986</v>
      </c>
      <c r="F7" s="367">
        <f>SUMIF(58:58,YEAR(E7)&amp;"-"&amp;MONTH(E7),59:59)</f>
        <v>100</v>
      </c>
      <c r="G7" s="366">
        <v>45017</v>
      </c>
      <c r="H7" s="365">
        <f>SUMIF(58:58,YEAR(G7)&amp;"-"&amp;MONTH(G7),59:59)</f>
        <v>100</v>
      </c>
      <c r="I7" s="366">
        <v>45017</v>
      </c>
      <c r="J7" s="365">
        <f>SUMIF(58:58,YEAR(I7)&amp;"-"&amp;MONTH(I7),59:59)</f>
        <v>100</v>
      </c>
      <c r="K7" s="1891"/>
      <c r="L7" s="2715"/>
      <c r="M7" s="2716"/>
      <c r="N7" s="2716"/>
      <c r="O7" s="2716"/>
      <c r="P7" s="3675" t="s">
        <v>1680</v>
      </c>
      <c r="Q7" s="3704"/>
      <c r="R7" s="701" t="s">
        <v>20</v>
      </c>
      <c r="S7" s="702">
        <f t="shared" ref="S7:S15" si="0">F7</f>
        <v>100</v>
      </c>
      <c r="T7" s="701" t="s">
        <v>20</v>
      </c>
      <c r="U7" s="702">
        <f t="shared" ref="U7:U15" si="1">H7</f>
        <v>100</v>
      </c>
      <c r="V7" s="701" t="s">
        <v>20</v>
      </c>
      <c r="W7" s="702">
        <f t="shared" ref="W7:W15" si="2">J7</f>
        <v>100</v>
      </c>
      <c r="X7" s="703"/>
      <c r="Y7" s="3675" t="s">
        <v>1680</v>
      </c>
      <c r="Z7" s="3676"/>
      <c r="AA7" s="704">
        <f>D7/F7</f>
        <v>1</v>
      </c>
      <c r="AB7" s="704">
        <f>D7/H7</f>
        <v>1</v>
      </c>
      <c r="AC7" s="704">
        <f>D7/J7</f>
        <v>1</v>
      </c>
    </row>
    <row r="8" spans="1:29" s="108" customFormat="1" ht="15.7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5"/>
      <c r="M8" s="2716"/>
      <c r="N8" s="2716"/>
      <c r="O8" s="2716"/>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89"/>
      <c r="Q11" s="1343"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9"/>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9"/>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9"/>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t="s">
        <v>3392</v>
      </c>
      <c r="D16" s="399"/>
      <c r="E16" s="398" t="s">
        <v>3392</v>
      </c>
      <c r="F16" s="399"/>
      <c r="G16" s="398" t="s">
        <v>3392</v>
      </c>
      <c r="H16" s="401"/>
      <c r="I16" s="398" t="s">
        <v>3392</v>
      </c>
      <c r="J16" s="399"/>
      <c r="K16" s="1899"/>
      <c r="L16" s="2720"/>
      <c r="M16" s="2714"/>
      <c r="N16" s="2714"/>
      <c r="O16" s="2714"/>
      <c r="P16" s="3718"/>
      <c r="Q16" s="1352"/>
      <c r="R16" s="705"/>
      <c r="S16" s="706"/>
      <c r="T16" s="705"/>
      <c r="U16" s="706"/>
      <c r="V16" s="705"/>
      <c r="W16" s="706"/>
      <c r="X16" s="1355"/>
      <c r="Y16" s="371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t="s">
        <v>3392</v>
      </c>
      <c r="D18" s="401"/>
      <c r="E18" s="1901" t="s">
        <v>3392</v>
      </c>
      <c r="F18" s="401"/>
      <c r="G18" s="1901" t="s">
        <v>3392</v>
      </c>
      <c r="H18" s="399"/>
      <c r="I18" s="1901" t="s">
        <v>3392</v>
      </c>
      <c r="J18" s="399"/>
      <c r="K18" s="1899"/>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t="s">
        <v>3392</v>
      </c>
      <c r="D20" s="399"/>
      <c r="E20" s="398" t="s">
        <v>3392</v>
      </c>
      <c r="F20" s="399"/>
      <c r="G20" s="398" t="s">
        <v>3392</v>
      </c>
      <c r="H20" s="399"/>
      <c r="I20" s="398" t="s">
        <v>3392</v>
      </c>
      <c r="J20" s="399"/>
      <c r="K20" s="1899"/>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399"/>
      <c r="G22" s="1901" t="s">
        <v>3425</v>
      </c>
      <c r="H22" s="399"/>
      <c r="I22" s="1901" t="s">
        <v>3425</v>
      </c>
      <c r="J22" s="399"/>
      <c r="K22" s="1905"/>
      <c r="L22" s="2720"/>
      <c r="M22" s="2714"/>
      <c r="N22" s="2714"/>
      <c r="O22" s="2714"/>
      <c r="P22" s="3718"/>
      <c r="Q22" s="1352"/>
      <c r="R22" s="705"/>
      <c r="S22" s="706"/>
      <c r="T22" s="705"/>
      <c r="U22" s="706"/>
      <c r="V22" s="705"/>
      <c r="W22" s="706"/>
      <c r="X22" s="1355"/>
      <c r="Y22" s="371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t="s">
        <v>3392</v>
      </c>
      <c r="D24" s="399"/>
      <c r="E24" s="398" t="s">
        <v>3392</v>
      </c>
      <c r="F24" s="399"/>
      <c r="G24" s="398" t="s">
        <v>3392</v>
      </c>
      <c r="H24" s="399"/>
      <c r="I24" s="398" t="s">
        <v>3392</v>
      </c>
      <c r="J24" s="399"/>
      <c r="K24" s="1899"/>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3412</v>
      </c>
      <c r="F26" s="386">
        <f>SUMIF(88:88,E26,89:89)-SUMIF(88:88,C26,89:89)+100</f>
        <v>101</v>
      </c>
      <c r="G26" s="1907" t="s">
        <v>3418</v>
      </c>
      <c r="H26" s="386">
        <f>SUMIF(88:88,G26,89:89)-SUMIF(88:88,C26,89:89)+100</f>
        <v>98</v>
      </c>
      <c r="I26" s="1907" t="s">
        <v>3416</v>
      </c>
      <c r="J26" s="386">
        <f>SUMIF(88:88,I26,89:89)-SUMIF(88:88,C26,89:89)+100</f>
        <v>99</v>
      </c>
      <c r="K26" s="377">
        <v>1</v>
      </c>
      <c r="L26" s="2720"/>
      <c r="M26" s="2714"/>
      <c r="N26" s="2714"/>
      <c r="O26" s="2714"/>
      <c r="P26" s="3718"/>
      <c r="Q26" s="1352" t="str">
        <f t="shared" si="11"/>
        <v>朝向</v>
      </c>
      <c r="R26" s="705" t="s">
        <v>18</v>
      </c>
      <c r="S26" s="706">
        <f t="shared" si="12"/>
        <v>101</v>
      </c>
      <c r="T26" s="705" t="s">
        <v>18</v>
      </c>
      <c r="U26" s="706">
        <f t="shared" si="13"/>
        <v>98</v>
      </c>
      <c r="V26" s="705" t="s">
        <v>18</v>
      </c>
      <c r="W26" s="706">
        <f t="shared" si="14"/>
        <v>99</v>
      </c>
      <c r="X26" s="1355"/>
      <c r="Y26" s="3711"/>
      <c r="Z26" s="1356" t="str">
        <f>Q26</f>
        <v>朝向</v>
      </c>
      <c r="AA26" s="1353">
        <f t="shared" si="15"/>
        <v>0.99009900990099009</v>
      </c>
      <c r="AB26" s="1353">
        <f t="shared" si="16"/>
        <v>1.0204081632653061</v>
      </c>
      <c r="AC26" s="1353">
        <f t="shared" si="17"/>
        <v>1.0101010101010102</v>
      </c>
    </row>
    <row r="27" spans="1:29" s="108" customFormat="1" ht="15">
      <c r="A27" s="382"/>
      <c r="B27" s="3450" t="s">
        <v>3408</v>
      </c>
      <c r="C27" s="3451" t="s">
        <v>3409</v>
      </c>
      <c r="D27" s="413">
        <v>100</v>
      </c>
      <c r="E27" s="3452" t="s">
        <v>3410</v>
      </c>
      <c r="F27" s="413">
        <f>SUMIF(90:90,E27,91:91)-SUMIF(90:90,C27,91:91)+100</f>
        <v>99</v>
      </c>
      <c r="G27" s="3453" t="s">
        <v>3410</v>
      </c>
      <c r="H27" s="413">
        <f>SUMIF(90:90,G27,91:91)-SUMIF(90:90,C27,91:91)+100</f>
        <v>99</v>
      </c>
      <c r="I27" s="3453" t="s">
        <v>3411</v>
      </c>
      <c r="J27" s="413">
        <f>SUMIF(90:90,I27,91:91)-SUMIF(90:90,C27,91:91)+100</f>
        <v>98</v>
      </c>
      <c r="K27" s="1894"/>
      <c r="L27" s="2715"/>
      <c r="M27" s="2716"/>
      <c r="N27" s="2716"/>
      <c r="O27" s="2716"/>
      <c r="P27" s="3718"/>
      <c r="Q27" s="1343" t="str">
        <f t="shared" si="11"/>
        <v>楼层</v>
      </c>
      <c r="R27" s="701" t="s">
        <v>18</v>
      </c>
      <c r="S27" s="702">
        <f t="shared" si="12"/>
        <v>99</v>
      </c>
      <c r="T27" s="701" t="s">
        <v>18</v>
      </c>
      <c r="U27" s="702">
        <f t="shared" si="13"/>
        <v>99</v>
      </c>
      <c r="V27" s="701" t="s">
        <v>18</v>
      </c>
      <c r="W27" s="702">
        <f t="shared" si="14"/>
        <v>98</v>
      </c>
      <c r="X27" s="703"/>
      <c r="Y27" s="3711"/>
      <c r="Z27" s="52" t="str">
        <f>Q27</f>
        <v>楼层</v>
      </c>
      <c r="AA27" s="1353">
        <f t="shared" si="15"/>
        <v>1.0101010101010102</v>
      </c>
      <c r="AB27" s="1353">
        <f t="shared" si="16"/>
        <v>1.0101010101010102</v>
      </c>
      <c r="AC27" s="1353">
        <f t="shared" si="17"/>
        <v>1.0204081632653061</v>
      </c>
    </row>
    <row r="28" spans="1:29" ht="15">
      <c r="A28" s="379"/>
      <c r="B28" s="1133">
        <v>111</v>
      </c>
      <c r="C28" s="3455"/>
      <c r="D28" s="386">
        <v>100</v>
      </c>
      <c r="E28" s="385">
        <f>C28</f>
        <v>0</v>
      </c>
      <c r="F28" s="386">
        <f>SUMIF(92:92,E28,93:93)-SUMIF(92:92,C28,93:93)+100</f>
        <v>100</v>
      </c>
      <c r="G28" s="1908"/>
      <c r="H28" s="386">
        <f>SUMIF(92:92,G28,93:93)-SUMIF(92:92,C28,93:93)+100</f>
        <v>100</v>
      </c>
      <c r="I28" s="385"/>
      <c r="J28" s="386">
        <f>SUMIF(92:92,I28,93:93)-SUMIF(92:92,C28,93:93)+100</f>
        <v>100</v>
      </c>
      <c r="K28" s="1894"/>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3406</v>
      </c>
      <c r="D32" s="418">
        <v>100</v>
      </c>
      <c r="E32" s="1911" t="s">
        <v>3406</v>
      </c>
      <c r="F32" s="412">
        <f>SUMIF(100:100,E32,101:101)-SUMIF(100:100,C32,101:101)+100</f>
        <v>100</v>
      </c>
      <c r="G32" s="1911" t="s">
        <v>3428</v>
      </c>
      <c r="H32" s="418">
        <f>SUMIF(100:100,G32,101:101)-SUMIF(100:100,C32,101:101)+100</f>
        <v>105</v>
      </c>
      <c r="I32" s="1911" t="s">
        <v>3428</v>
      </c>
      <c r="J32" s="386">
        <f>SUMIF(100:100,I32,101:101)-SUMIF(100:100,C32,101:101)+100</f>
        <v>105</v>
      </c>
      <c r="K32" s="377">
        <v>5</v>
      </c>
      <c r="L32" s="2720"/>
      <c r="M32" s="2714"/>
      <c r="N32" s="2714"/>
      <c r="O32" s="2714"/>
      <c r="P32" s="3712" t="s">
        <v>1696</v>
      </c>
      <c r="Q32" s="1352" t="str">
        <f t="shared" si="11"/>
        <v>建筑类型</v>
      </c>
      <c r="R32" s="705" t="s">
        <v>18</v>
      </c>
      <c r="S32" s="706">
        <f t="shared" si="12"/>
        <v>100</v>
      </c>
      <c r="T32" s="705" t="s">
        <v>18</v>
      </c>
      <c r="U32" s="706">
        <f t="shared" si="13"/>
        <v>105</v>
      </c>
      <c r="V32" s="705" t="s">
        <v>18</v>
      </c>
      <c r="W32" s="706">
        <f t="shared" si="14"/>
        <v>105</v>
      </c>
      <c r="X32" s="1355"/>
      <c r="Y32" s="3715" t="s">
        <v>1696</v>
      </c>
      <c r="Z32" s="1356" t="str">
        <f t="shared" si="18"/>
        <v>建筑类型</v>
      </c>
      <c r="AA32" s="1353">
        <f t="shared" si="15"/>
        <v>1</v>
      </c>
      <c r="AB32" s="1353">
        <f t="shared" si="16"/>
        <v>0.95238095238095233</v>
      </c>
      <c r="AC32" s="1353">
        <f t="shared" si="17"/>
        <v>0.95238095238095233</v>
      </c>
    </row>
    <row r="33" spans="1:29" s="422" customFormat="1" ht="15">
      <c r="A33" s="419"/>
      <c r="B33" s="375" t="s">
        <v>1697</v>
      </c>
      <c r="C33" s="420">
        <f>'数据-汇总表'!F19</f>
        <v>142.19</v>
      </c>
      <c r="D33" s="127">
        <v>100</v>
      </c>
      <c r="E33" s="381">
        <v>117.8</v>
      </c>
      <c r="F33" s="376">
        <f>LOOKUP(E33,103:103,104:104)-LOOKUP(C33,103:103,104:104)+100</f>
        <v>102</v>
      </c>
      <c r="G33" s="380">
        <v>77.73</v>
      </c>
      <c r="H33" s="3457">
        <f>LOOKUP(G33,103:103,104:104)-LOOKUP(C33,103:103,104:104)+100</f>
        <v>104</v>
      </c>
      <c r="I33" s="381">
        <v>119.12</v>
      </c>
      <c r="J33" s="127">
        <f>LOOKUP(I33,103:103,104:104)-LOOKUP(C33,103:103,104:104)+100</f>
        <v>102</v>
      </c>
      <c r="K33" s="1894"/>
      <c r="L33" s="2719"/>
      <c r="M33" s="2721"/>
      <c r="N33" s="2721"/>
      <c r="O33" s="2721"/>
      <c r="P33" s="3713"/>
      <c r="Q33" s="707" t="str">
        <f t="shared" si="11"/>
        <v>项目建筑规模</v>
      </c>
      <c r="R33" s="708" t="s">
        <v>18</v>
      </c>
      <c r="S33" s="709">
        <f t="shared" si="12"/>
        <v>102</v>
      </c>
      <c r="T33" s="708" t="s">
        <v>18</v>
      </c>
      <c r="U33" s="709">
        <f t="shared" si="13"/>
        <v>104</v>
      </c>
      <c r="V33" s="708" t="s">
        <v>18</v>
      </c>
      <c r="W33" s="709">
        <f t="shared" si="14"/>
        <v>102</v>
      </c>
      <c r="X33" s="710"/>
      <c r="Y33" s="3715"/>
      <c r="Z33" s="711" t="str">
        <f t="shared" si="18"/>
        <v>项目建筑规模</v>
      </c>
      <c r="AA33" s="1353">
        <f t="shared" si="15"/>
        <v>0.98039215686274506</v>
      </c>
      <c r="AB33" s="1353">
        <f t="shared" si="16"/>
        <v>0.96153846153846156</v>
      </c>
      <c r="AC33" s="1353">
        <f t="shared" si="17"/>
        <v>0.98039215686274506</v>
      </c>
    </row>
    <row r="34" spans="1:29" ht="15">
      <c r="A34" s="423"/>
      <c r="B34" s="375" t="s">
        <v>1698</v>
      </c>
      <c r="C34" s="1912" t="s">
        <v>3430</v>
      </c>
      <c r="D34" s="386">
        <v>100</v>
      </c>
      <c r="E34" s="1912" t="s">
        <v>3430</v>
      </c>
      <c r="F34" s="412">
        <f>SUMIF(105:105,E34,106:106)-SUMIF(105:105,C34,106:106)+100</f>
        <v>100</v>
      </c>
      <c r="G34" s="1912" t="s">
        <v>3430</v>
      </c>
      <c r="H34" s="386">
        <f>SUMIF(105:105,G34,106:106)-SUMIF(105:105,C34,106:106)+100</f>
        <v>100</v>
      </c>
      <c r="I34" s="1912" t="s">
        <v>3430</v>
      </c>
      <c r="J34" s="386">
        <f>SUMIF(105:105,I34,106:106)-SUMIF(105:105,C34,106:106)+100</f>
        <v>100</v>
      </c>
      <c r="K34" s="377"/>
      <c r="L34" s="2720"/>
      <c r="M34" s="2714"/>
      <c r="N34" s="2714"/>
      <c r="O34" s="2714"/>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3431</v>
      </c>
      <c r="D36" s="386">
        <v>100</v>
      </c>
      <c r="E36" s="1906" t="s">
        <v>3431</v>
      </c>
      <c r="F36" s="412">
        <f>SUMIF(109:109,E36,110:110)-SUMIF(109:109,C36,110:110)+100</f>
        <v>100</v>
      </c>
      <c r="G36" s="1906" t="s">
        <v>3431</v>
      </c>
      <c r="H36" s="386">
        <f>SUMIF(109:109,G36,110:110)-SUMIF(109:109,C36,110:110)+100</f>
        <v>100</v>
      </c>
      <c r="I36" s="1906" t="s">
        <v>3431</v>
      </c>
      <c r="J36" s="386">
        <f>SUMIF(109:109,I36,110:110)-SUMIF(109:109,C36,110:110)+100</f>
        <v>100</v>
      </c>
      <c r="K36" s="377"/>
      <c r="L36" s="2720"/>
      <c r="M36" s="2714"/>
      <c r="N36" s="2714"/>
      <c r="O36" s="2714"/>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3458">
        <v>0.63500000000000001</v>
      </c>
      <c r="D37" s="127">
        <v>100</v>
      </c>
      <c r="E37" s="3458">
        <v>0.63500000000000001</v>
      </c>
      <c r="F37" s="376">
        <f>LOOKUP(E37,112:112,113:113)-LOOKUP(C37,112:112,113:113)+100</f>
        <v>100</v>
      </c>
      <c r="G37" s="427">
        <v>0.65</v>
      </c>
      <c r="H37" s="127">
        <f>LOOKUP(G37,112:112,113:113)-LOOKUP(C37,112:112,113:113)+100</f>
        <v>100</v>
      </c>
      <c r="I37" s="426">
        <v>0.67</v>
      </c>
      <c r="J37" s="127">
        <f>LOOKUP(I37,112:112,113:113)-LOOKUP(C37,112:112,113:113)+100</f>
        <v>100</v>
      </c>
      <c r="K37" s="377">
        <v>2</v>
      </c>
      <c r="L37" s="2715"/>
      <c r="M37" s="2716"/>
      <c r="N37" s="2716"/>
      <c r="O37" s="2716"/>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377"/>
      <c r="L38" s="2720"/>
      <c r="M38" s="2714"/>
      <c r="N38" s="2714"/>
      <c r="O38" s="2714"/>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3425</v>
      </c>
      <c r="D39" s="386">
        <v>100</v>
      </c>
      <c r="E39" s="1906" t="s">
        <v>3425</v>
      </c>
      <c r="F39" s="412">
        <f>SUMIF(116:116,E39,117:117)-SUMIF(116:116,C39,117:117)+100</f>
        <v>100</v>
      </c>
      <c r="G39" s="1906" t="s">
        <v>3425</v>
      </c>
      <c r="H39" s="386">
        <f>SUMIF(116:116,G39,117:117)-SUMIF(116:116,C39,117:117)+100</f>
        <v>100</v>
      </c>
      <c r="I39" s="1906" t="s">
        <v>3425</v>
      </c>
      <c r="J39" s="386">
        <f>SUMIF(116:116,I39,117:117)-SUMIF(116:116,C39,117:117)+100</f>
        <v>100</v>
      </c>
      <c r="K39" s="377"/>
      <c r="L39" s="2720"/>
      <c r="M39" s="2714"/>
      <c r="N39" s="2714"/>
      <c r="O39" s="2714"/>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3426</v>
      </c>
      <c r="D42" s="386">
        <v>100</v>
      </c>
      <c r="E42" s="1906" t="s">
        <v>3426</v>
      </c>
      <c r="F42" s="412">
        <f>SUMIF(122:122,E42,123:123)-SUMIF(122:122,C42,123:123)+100</f>
        <v>100</v>
      </c>
      <c r="G42" s="1906" t="s">
        <v>3426</v>
      </c>
      <c r="H42" s="386">
        <f>SUMIF(122:122,G42,123:123)-SUMIF(122:122,C42,123:123)+100</f>
        <v>100</v>
      </c>
      <c r="I42" s="1906" t="s">
        <v>3426</v>
      </c>
      <c r="J42" s="386">
        <f>SUMIF(122:122,I42,123:123)-SUMIF(122:122,C42,123:123)+100</f>
        <v>100</v>
      </c>
      <c r="K42" s="377"/>
      <c r="L42" s="2720"/>
      <c r="M42" s="2714"/>
      <c r="N42" s="2714"/>
      <c r="O42" s="2714"/>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0"/>
      <c r="M43" s="2714"/>
      <c r="N43" s="2714"/>
      <c r="O43" s="2714"/>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v>2001</v>
      </c>
      <c r="N45" s="2714"/>
      <c r="O45" s="2714"/>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f>1-(2023-M45)/60</f>
        <v>0.6333333333333333</v>
      </c>
      <c r="N46" s="2714">
        <v>0.75</v>
      </c>
      <c r="O46" s="2714"/>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v>89134</v>
      </c>
      <c r="F47" s="1157"/>
      <c r="G47" s="1158">
        <v>96102</v>
      </c>
      <c r="H47" s="1159"/>
      <c r="I47" s="1156">
        <v>100739</v>
      </c>
      <c r="J47" s="1159"/>
      <c r="K47" s="1913"/>
      <c r="L47" s="2722"/>
      <c r="M47" s="2723">
        <v>0.7</v>
      </c>
      <c r="N47" s="2714"/>
      <c r="O47" s="2723"/>
      <c r="P47" s="3708" t="str">
        <f>A47</f>
        <v>成交单价（元/平方米）</v>
      </c>
      <c r="Q47" s="3708"/>
      <c r="R47" s="3709">
        <f>E47</f>
        <v>89134</v>
      </c>
      <c r="S47" s="3709"/>
      <c r="T47" s="3709">
        <f>G47</f>
        <v>96102</v>
      </c>
      <c r="U47" s="3709"/>
      <c r="V47" s="3709">
        <f>I47</f>
        <v>100739</v>
      </c>
      <c r="W47" s="3709"/>
      <c r="X47" s="690"/>
      <c r="Y47" s="712"/>
      <c r="Z47" s="690"/>
      <c r="AA47" s="690"/>
      <c r="AB47" s="690"/>
      <c r="AC47" s="690"/>
    </row>
    <row r="48" spans="1:29" ht="15.75" thickBot="1">
      <c r="A48" s="437" t="s">
        <v>1709</v>
      </c>
      <c r="B48" s="438"/>
      <c r="C48" s="1160">
        <f>R49</f>
        <v>91685</v>
      </c>
      <c r="D48" s="2315" t="s">
        <v>2138</v>
      </c>
      <c r="E48" s="1161">
        <f>R48</f>
        <v>87395</v>
      </c>
      <c r="F48" s="2316"/>
      <c r="G48" s="1160">
        <f>T48</f>
        <v>90709</v>
      </c>
      <c r="H48" s="2316"/>
      <c r="I48" s="1161">
        <f>V48</f>
        <v>96950</v>
      </c>
      <c r="J48" s="2316"/>
      <c r="K48" s="2317">
        <f>F48+H48+J48</f>
        <v>0</v>
      </c>
      <c r="L48" s="2722"/>
      <c r="M48" s="2723"/>
      <c r="N48" s="2723"/>
      <c r="O48" s="2723"/>
      <c r="P48" s="3708" t="str">
        <f>A48</f>
        <v>比较价值（元/平方米）</v>
      </c>
      <c r="Q48" s="3708"/>
      <c r="R48" s="3709">
        <f>IF(F1="售价",ROUND(PRODUCT(R47,AA7:AA46),0),ROUND(PRODUCT(R47,AA7:AA46),1))</f>
        <v>87395</v>
      </c>
      <c r="S48" s="3709"/>
      <c r="T48" s="3709">
        <f>IF(F1="售价",ROUND(PRODUCT(T47,AB7:AB46),0),ROUND(PRODUCT(T47,AB7:AB46),1))</f>
        <v>90709</v>
      </c>
      <c r="U48" s="3709"/>
      <c r="V48" s="3709">
        <f>IF(F1="售价",ROUND(PRODUCT(V47,AC7:AC46),0),ROUND(PRODUCT(V47,AC7:AC46),1))</f>
        <v>96950</v>
      </c>
      <c r="W48" s="3709"/>
      <c r="X48" s="690"/>
      <c r="Y48" s="690"/>
      <c r="Z48" s="690"/>
      <c r="AA48" s="690"/>
      <c r="AB48" s="690"/>
      <c r="AC48" s="690"/>
    </row>
    <row r="49" spans="1:29" ht="15.75" thickBot="1">
      <c r="A49" s="441" t="s">
        <v>1710</v>
      </c>
      <c r="B49" s="442"/>
      <c r="C49" s="1162">
        <f>R49</f>
        <v>91685</v>
      </c>
      <c r="D49" s="1163"/>
      <c r="E49" s="1163"/>
      <c r="F49" s="1163"/>
      <c r="G49" s="1163"/>
      <c r="H49" s="1163"/>
      <c r="I49" s="1163"/>
      <c r="J49" s="1163"/>
      <c r="K49" s="1914"/>
      <c r="L49" s="2722"/>
      <c r="M49" s="2723"/>
      <c r="N49" s="2723"/>
      <c r="O49" s="2723"/>
      <c r="P49" s="3705" t="str">
        <f>A49</f>
        <v>估价对象XX用房的比较价值（楼面单价，元/平方米）</v>
      </c>
      <c r="Q49" s="3706"/>
      <c r="R49" s="3707">
        <f>IF(F1="售价",ROUND(IF(D48="简单平均",AVERAGE(R48:V48),R48*F48+T48*H48+V48*J48),0),ROUND(IF(D48="简单平均",AVERAGE(R48:V48),R48*F48+T48*H48+V48*J48),1))</f>
        <v>91685</v>
      </c>
      <c r="S49" s="3707"/>
      <c r="T49" s="3707"/>
      <c r="U49" s="3707"/>
      <c r="V49" s="3707"/>
      <c r="W49" s="3707"/>
      <c r="X49" s="690"/>
      <c r="Y49" s="690"/>
      <c r="Z49" s="690"/>
      <c r="AA49" s="690"/>
      <c r="AB49" s="690"/>
      <c r="AC49" s="690"/>
    </row>
    <row r="50" spans="1:29">
      <c r="A50" s="2723"/>
      <c r="B50" s="2723"/>
      <c r="C50" s="2723">
        <v>1997</v>
      </c>
      <c r="D50" s="2723"/>
      <c r="E50" s="2723">
        <v>1997</v>
      </c>
      <c r="F50" s="2723"/>
      <c r="G50" s="2727">
        <v>19.989999999999998</v>
      </c>
      <c r="H50" s="2723"/>
      <c r="I50" s="2723">
        <v>2001</v>
      </c>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1.9898163510498224E-2</v>
      </c>
      <c r="F52" s="449" t="str">
        <f>IF(OR(E52&gt;=0.3,E52&lt;=-0.3),"超过30%","")</f>
        <v/>
      </c>
      <c r="G52" s="448">
        <f>IF(G47&lt;G48,G48/G47-1,G47/G48-1)</f>
        <v>5.9453857941328847E-2</v>
      </c>
      <c r="H52" s="449" t="str">
        <f>IF(OR(G52&gt;=0.3,G52&lt;=-0.3),"超过30%","")</f>
        <v/>
      </c>
      <c r="I52" s="448">
        <f>IF(I47&lt;I48,I48/I47-1,I47/I48-1)</f>
        <v>3.9082001031459424E-2</v>
      </c>
      <c r="J52" s="449" t="str">
        <f>IF(OR(I52&gt;=0.3,I52&lt;=-0.3),"超过30%","")</f>
        <v/>
      </c>
      <c r="K52" s="2728"/>
      <c r="L52" s="2724"/>
      <c r="M52" s="2723"/>
      <c r="N52" s="2723"/>
      <c r="O52" s="2723"/>
    </row>
    <row r="53" spans="1:29" ht="13.5" customHeight="1">
      <c r="A53" s="2723"/>
      <c r="B53" s="2723"/>
      <c r="C53" s="446" t="s">
        <v>1712</v>
      </c>
      <c r="D53" s="450"/>
      <c r="E53" s="448">
        <f>IF(E48&lt;G48,G48/E48-1,E48/G48-1)</f>
        <v>3.7919789461639652E-2</v>
      </c>
      <c r="F53" s="449" t="str">
        <f>IF(OR(E53&gt;=0.2,E53&lt;=-0.2),"超过20%","")</f>
        <v/>
      </c>
      <c r="G53" s="448">
        <f>IF(G48&lt;I48,I48/G48-1,G48/I48-1)</f>
        <v>6.8802434157580805E-2</v>
      </c>
      <c r="H53" s="449" t="str">
        <f>IF(OR(G53&gt;=0.2,G53&lt;=-0.2),"超过20%","")</f>
        <v/>
      </c>
      <c r="I53" s="448">
        <f>IF(I48&lt;E48,E48/I48-1,I48/E48-1)</f>
        <v>0.10933119743692421</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8"/>
      <c r="C59" s="1183">
        <v>100</v>
      </c>
      <c r="D59" s="460">
        <v>100</v>
      </c>
      <c r="E59" s="461">
        <v>100</v>
      </c>
      <c r="F59" s="461">
        <v>100</v>
      </c>
      <c r="G59" s="461">
        <v>100</v>
      </c>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448" t="s">
        <v>3413</v>
      </c>
      <c r="D88" s="3448" t="s">
        <v>3415</v>
      </c>
      <c r="E88" s="3448" t="s">
        <v>3417</v>
      </c>
      <c r="F88" s="3454" t="s">
        <v>3419</v>
      </c>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75" thickTop="1">
      <c r="A90" s="502"/>
      <c r="B90" s="487" t="str">
        <f>B27</f>
        <v>楼层</v>
      </c>
      <c r="C90" s="3448" t="s">
        <v>3409</v>
      </c>
      <c r="D90" s="3448" t="s">
        <v>3410</v>
      </c>
      <c r="E90" s="3448" t="s">
        <v>3411</v>
      </c>
      <c r="F90" s="503"/>
      <c r="G90" s="503"/>
      <c r="H90" s="504"/>
      <c r="I90" s="504"/>
      <c r="J90" s="504"/>
      <c r="K90" s="504"/>
      <c r="L90" s="505"/>
      <c r="M90" s="506"/>
      <c r="N90" s="935"/>
      <c r="O90" s="935"/>
      <c r="P90" s="1922"/>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49" t="s">
        <v>3429</v>
      </c>
      <c r="D100" s="3449" t="s">
        <v>3407</v>
      </c>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1"/>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120(含)-150</v>
      </c>
      <c r="G102" s="527" t="str">
        <f t="shared" si="26"/>
        <v>150(含)-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v>150</v>
      </c>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C105" s="3448" t="s">
        <v>3400</v>
      </c>
      <c r="D105" s="3448" t="s">
        <v>3401</v>
      </c>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3448" t="s">
        <v>3402</v>
      </c>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1741</v>
      </c>
      <c r="C114" s="3448" t="s">
        <v>3403</v>
      </c>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3448" t="s">
        <v>3404</v>
      </c>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3402</v>
      </c>
      <c r="D122" s="3448" t="s">
        <v>3405</v>
      </c>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702" t="s">
        <v>1772</v>
      </c>
      <c r="AC4" s="3672" t="s">
        <v>1773</v>
      </c>
    </row>
    <row r="5" spans="1:29" ht="15">
      <c r="A5" s="358"/>
      <c r="B5" s="359"/>
      <c r="C5" s="3683" t="s">
        <v>1673</v>
      </c>
      <c r="D5" s="3684"/>
      <c r="E5" s="3719"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702"/>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702"/>
      <c r="AC6" s="3674"/>
    </row>
    <row r="7" spans="1:29" s="108" customFormat="1" ht="15.75" thickBot="1">
      <c r="A7" s="362" t="s">
        <v>1679</v>
      </c>
      <c r="B7" s="363"/>
      <c r="C7" s="364">
        <f>'数据-取费表'!B2</f>
        <v>45065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11"/>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8" t="str">
        <f>A47</f>
        <v>成交单价（元/平方米）</v>
      </c>
      <c r="Q47" s="3708"/>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6" t="s">
        <v>1775</v>
      </c>
      <c r="Q4" s="3727"/>
      <c r="R4" s="3721" t="s">
        <v>1771</v>
      </c>
      <c r="S4" s="3722"/>
      <c r="T4" s="3721" t="s">
        <v>1772</v>
      </c>
      <c r="U4" s="3722"/>
      <c r="V4" s="3730" t="s">
        <v>1773</v>
      </c>
      <c r="W4" s="3730"/>
      <c r="X4" s="1957"/>
      <c r="Y4" s="3721" t="s">
        <v>1775</v>
      </c>
      <c r="Z4" s="3722"/>
      <c r="AA4" s="3720" t="s">
        <v>1771</v>
      </c>
      <c r="AB4" s="3720" t="s">
        <v>1772</v>
      </c>
      <c r="AC4" s="3723" t="s">
        <v>1773</v>
      </c>
    </row>
    <row r="5" spans="1:29" ht="15">
      <c r="A5" s="358"/>
      <c r="B5" s="359"/>
      <c r="C5" s="3683" t="s">
        <v>1673</v>
      </c>
      <c r="D5" s="3684"/>
      <c r="E5" s="3719" t="s">
        <v>1674</v>
      </c>
      <c r="F5" s="3682"/>
      <c r="G5" s="3683" t="s">
        <v>1675</v>
      </c>
      <c r="H5" s="3684"/>
      <c r="I5" s="3683" t="s">
        <v>1676</v>
      </c>
      <c r="J5" s="3684"/>
      <c r="K5" s="559"/>
      <c r="L5" s="2713"/>
      <c r="M5" s="2714"/>
      <c r="N5" s="2714"/>
      <c r="O5" s="2714"/>
      <c r="P5" s="3728"/>
      <c r="Q5" s="3697"/>
      <c r="R5" s="3679"/>
      <c r="S5" s="3680"/>
      <c r="T5" s="3679"/>
      <c r="U5" s="3680"/>
      <c r="V5" s="3702"/>
      <c r="W5" s="3702"/>
      <c r="X5" s="1355"/>
      <c r="Y5" s="3679"/>
      <c r="Z5" s="3680"/>
      <c r="AA5" s="3673"/>
      <c r="AB5" s="3673"/>
      <c r="AC5" s="3724"/>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729"/>
      <c r="Q6" s="3699"/>
      <c r="R6" s="3679"/>
      <c r="S6" s="3680"/>
      <c r="T6" s="3700"/>
      <c r="U6" s="3701"/>
      <c r="V6" s="3702"/>
      <c r="W6" s="3702"/>
      <c r="X6" s="1355"/>
      <c r="Y6" s="3700"/>
      <c r="Z6" s="3701"/>
      <c r="AA6" s="3674"/>
      <c r="AB6" s="3674"/>
      <c r="AC6" s="3725"/>
    </row>
    <row r="7" spans="1:29" s="108" customFormat="1" ht="15.75" thickBot="1">
      <c r="A7" s="362" t="s">
        <v>1679</v>
      </c>
      <c r="B7" s="363"/>
      <c r="C7" s="364">
        <f>'数据-取费表'!B2</f>
        <v>45065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1"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1"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718"/>
      <c r="Q22" s="1352"/>
      <c r="R22" s="705"/>
      <c r="S22" s="706"/>
      <c r="T22" s="705"/>
      <c r="U22" s="706"/>
      <c r="V22" s="705"/>
      <c r="W22" s="706"/>
      <c r="X22" s="1355"/>
      <c r="Y22" s="3711"/>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11"/>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2"/>
      <c r="M48" s="2714"/>
      <c r="N48" s="2714"/>
      <c r="O48" s="2714"/>
      <c r="P48" s="3689"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89"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719" t="s">
        <v>1674</v>
      </c>
      <c r="F5" s="3682"/>
      <c r="G5" s="3683" t="s">
        <v>1675</v>
      </c>
      <c r="H5" s="3684"/>
      <c r="I5" s="3683" t="s">
        <v>1676</v>
      </c>
      <c r="J5" s="3684"/>
      <c r="K5" s="559"/>
      <c r="L5" s="913"/>
      <c r="M5" s="914"/>
      <c r="N5" s="914"/>
      <c r="O5" s="9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3"/>
      <c r="M6" s="914"/>
      <c r="N6" s="914"/>
      <c r="O6" s="9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45065</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719"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45065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1"/>
      <c r="Q17" s="1352"/>
      <c r="R17" s="705"/>
      <c r="S17" s="706"/>
      <c r="T17" s="705"/>
      <c r="U17" s="706"/>
      <c r="V17" s="705"/>
      <c r="W17" s="706"/>
      <c r="X17" s="1355"/>
      <c r="Y17" s="371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1"/>
      <c r="Q19" s="1352"/>
      <c r="R19" s="705"/>
      <c r="S19" s="706"/>
      <c r="T19" s="705"/>
      <c r="U19" s="706"/>
      <c r="V19" s="705"/>
      <c r="W19" s="706"/>
      <c r="X19" s="1355"/>
      <c r="Y19" s="371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719"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45065</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1"/>
      <c r="Q17" s="1352"/>
      <c r="R17" s="705"/>
      <c r="S17" s="706"/>
      <c r="T17" s="705"/>
      <c r="U17" s="706"/>
      <c r="V17" s="705"/>
      <c r="W17" s="706"/>
      <c r="X17" s="1355"/>
      <c r="Y17" s="371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1"/>
      <c r="Q19" s="1352"/>
      <c r="R19" s="705"/>
      <c r="S19" s="706"/>
      <c r="T19" s="705"/>
      <c r="U19" s="706"/>
      <c r="V19" s="705"/>
      <c r="W19" s="706"/>
      <c r="X19" s="1355"/>
      <c r="Y19" s="371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30" ht="15">
      <c r="A5" s="358"/>
      <c r="B5" s="359"/>
      <c r="C5" s="3683" t="s">
        <v>1673</v>
      </c>
      <c r="D5" s="3684"/>
      <c r="E5" s="3719"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30" s="108" customFormat="1" ht="15.75" thickBot="1">
      <c r="A7" s="362" t="s">
        <v>1679</v>
      </c>
      <c r="B7" s="363"/>
      <c r="C7" s="364">
        <f>'数据-取费表'!B2</f>
        <v>45065</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708"/>
      <c r="Q10" s="1343" t="str">
        <f t="shared" si="6"/>
        <v>土地使用年限（年）</v>
      </c>
      <c r="R10" s="701" t="s">
        <v>14</v>
      </c>
      <c r="S10" s="702">
        <f t="shared" si="0"/>
        <v>111</v>
      </c>
      <c r="T10" s="701" t="s">
        <v>14</v>
      </c>
      <c r="U10" s="702">
        <f t="shared" si="1"/>
        <v>111</v>
      </c>
      <c r="V10" s="701" t="s">
        <v>14</v>
      </c>
      <c r="W10" s="702">
        <f t="shared" si="2"/>
        <v>111</v>
      </c>
      <c r="X10" s="703"/>
      <c r="Y10" s="3619"/>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1"/>
      <c r="Q20" s="1352"/>
      <c r="R20" s="705"/>
      <c r="S20" s="706"/>
      <c r="T20" s="705"/>
      <c r="U20" s="706"/>
      <c r="V20" s="705"/>
      <c r="W20" s="706"/>
      <c r="X20" s="1355"/>
      <c r="Y20" s="371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1"/>
      <c r="Q24" s="1352"/>
      <c r="R24" s="705"/>
      <c r="S24" s="706"/>
      <c r="T24" s="705"/>
      <c r="U24" s="706"/>
      <c r="V24" s="705"/>
      <c r="W24" s="706"/>
      <c r="X24" s="1355"/>
      <c r="Y24" s="3711"/>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711"/>
      <c r="Q28" s="1343"/>
      <c r="R28" s="701"/>
      <c r="S28" s="702"/>
      <c r="T28" s="701"/>
      <c r="U28" s="702"/>
      <c r="V28" s="701"/>
      <c r="W28" s="702"/>
      <c r="X28" s="703"/>
      <c r="Y28" s="371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2"/>
      <c r="M46" s="2723"/>
      <c r="N46" s="2714"/>
      <c r="O46" s="2723"/>
      <c r="P46" s="3708" t="str">
        <f>A46</f>
        <v>成交单价</v>
      </c>
      <c r="Q46" s="3708"/>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08" t="str">
        <f>A47</f>
        <v>比较价值（元/平方米）</v>
      </c>
      <c r="Q47" s="3708"/>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5" t="str">
        <f>A48</f>
        <v>估价对象XX用房的比较价值（楼面单价，元/平方米）</v>
      </c>
      <c r="Q48" s="3706"/>
      <c r="R48" s="3738" t="e">
        <f>ROUND(IF(D47="简单平均",AVERAGE(R47:W47),R47*F47+T47*H47+V47*J47),0)</f>
        <v>#DIV/0!</v>
      </c>
      <c r="S48" s="3738"/>
      <c r="T48" s="3738"/>
      <c r="U48" s="3738"/>
      <c r="V48" s="3738"/>
      <c r="W48" s="373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90" t="s">
        <v>1887</v>
      </c>
      <c r="H55" s="3739"/>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142.19</v>
      </c>
      <c r="F56" s="886" t="e">
        <f t="shared" ref="F56:F64" si="15">ROUND(B56*E56/10000,0)</f>
        <v>#DIV/0!</v>
      </c>
      <c r="G56" s="3689"/>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719"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45065</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708"/>
      <c r="Q10" s="1343" t="str">
        <f t="shared" si="6"/>
        <v>土地使用年限（年）</v>
      </c>
      <c r="R10" s="701" t="s">
        <v>14</v>
      </c>
      <c r="S10" s="702">
        <f t="shared" si="0"/>
        <v>111</v>
      </c>
      <c r="T10" s="701" t="s">
        <v>14</v>
      </c>
      <c r="U10" s="702">
        <f t="shared" si="1"/>
        <v>111</v>
      </c>
      <c r="V10" s="701" t="s">
        <v>14</v>
      </c>
      <c r="W10" s="702">
        <f t="shared" si="2"/>
        <v>111</v>
      </c>
      <c r="X10" s="703"/>
      <c r="Y10" s="3619"/>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2"/>
      <c r="M41" s="2714"/>
      <c r="N41" s="2714"/>
      <c r="O41" s="2723"/>
      <c r="P41" s="3708" t="str">
        <f>A41</f>
        <v>成交单价</v>
      </c>
      <c r="Q41" s="3708"/>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08" t="str">
        <f>A42</f>
        <v>比较价值（元/平方米）</v>
      </c>
      <c r="Q42" s="370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5" t="str">
        <f>A43</f>
        <v>估价对象XX用房的比较价值（楼面单价，元/平方米）</v>
      </c>
      <c r="Q43" s="3706"/>
      <c r="R43" s="3738" t="e">
        <f>ROUND(IF(D42="简单平均",AVERAGE(R42:W42),R42*F42+T42*H42+V42*J42),0)</f>
        <v>#DIV/0!</v>
      </c>
      <c r="S43" s="3738"/>
      <c r="T43" s="3738"/>
      <c r="U43" s="3738"/>
      <c r="V43" s="3738"/>
      <c r="W43" s="373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90" t="s">
        <v>1887</v>
      </c>
      <c r="H50" s="3739"/>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142.19</v>
      </c>
      <c r="F51" s="639" t="e">
        <f t="shared" ref="F51:F60" si="15">ROUND(B51*E51/10000,0)</f>
        <v>#DIV/0!</v>
      </c>
      <c r="G51" s="3689"/>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438</v>
      </c>
      <c r="C2" s="2143" t="s">
        <v>2074</v>
      </c>
      <c r="D2" s="2143" t="s">
        <v>2075</v>
      </c>
      <c r="E2" s="2610">
        <f ca="1">SUMIF(E6:E13,"&lt;&gt;#ref!",E6:E13)</f>
        <v>142.19</v>
      </c>
      <c r="F2" s="2791"/>
      <c r="G2" s="2791"/>
      <c r="H2" s="2791"/>
      <c r="I2" s="2791"/>
      <c r="J2" s="2791"/>
      <c r="K2" s="2791"/>
      <c r="L2" s="2791"/>
      <c r="M2" s="2791"/>
      <c r="N2" s="2791"/>
      <c r="O2" s="2791"/>
      <c r="P2" s="2791"/>
    </row>
    <row r="3" spans="1:16" ht="15.75">
      <c r="A3" s="2143" t="s">
        <v>2076</v>
      </c>
      <c r="B3" s="2600">
        <f ca="1">ROUND(B2*10000/E2,0)</f>
        <v>30804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438</v>
      </c>
      <c r="C6" s="2143" t="s">
        <v>2074</v>
      </c>
      <c r="D6" s="2791"/>
      <c r="E6" s="2610">
        <f ca="1">SUMIF(INDIRECT("'"&amp;A6&amp;"'"&amp;"!C:C"),"建筑面积",INDIRECT("'"&amp;A6&amp;"'"&amp;"!D:D"))</f>
        <v>142.19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765.07510000000002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4541489</v>
      </c>
      <c r="D5" s="211" t="s">
        <v>1469</v>
      </c>
      <c r="E5" s="212" t="s">
        <v>1470</v>
      </c>
      <c r="F5" s="212" t="s">
        <v>1471</v>
      </c>
      <c r="G5" s="213"/>
    </row>
    <row r="6" spans="1:8" s="214" customFormat="1" ht="13.5" customHeight="1">
      <c r="A6" s="778" t="s">
        <v>1472</v>
      </c>
      <c r="B6" s="215" t="s">
        <v>1473</v>
      </c>
      <c r="C6" s="216">
        <f>ROUND(基准地价修正!C33*基准地价修正!D33,0)</f>
        <v>4384997</v>
      </c>
      <c r="D6" s="217"/>
      <c r="E6" s="218"/>
      <c r="F6" s="218"/>
      <c r="G6" s="219"/>
    </row>
    <row r="7" spans="1:8" s="214" customFormat="1" ht="13.5" customHeight="1">
      <c r="A7" s="778" t="s">
        <v>1474</v>
      </c>
      <c r="B7" s="215" t="s">
        <v>1475</v>
      </c>
      <c r="C7" s="220">
        <f>ROUND(C6*F7,0)</f>
        <v>133742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90830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446002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441688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4314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1389696</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1389696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7032747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651230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568760</v>
      </c>
      <c r="D34" s="217"/>
      <c r="E34" s="220"/>
      <c r="F34" s="257"/>
      <c r="G34" s="219"/>
    </row>
    <row r="35" spans="1:7" ht="13.5" customHeight="1">
      <c r="A35" s="780" t="s">
        <v>351</v>
      </c>
      <c r="B35" s="215" t="s">
        <v>1527</v>
      </c>
      <c r="C35" s="220">
        <f ca="1">ROUND(C34*F35,0)</f>
        <v>17063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28438</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8531</v>
      </c>
      <c r="D38" s="220"/>
      <c r="E38" s="220"/>
      <c r="F38" s="259">
        <f>'数据-取费表'!B36</f>
        <v>1.4999999999999999E-2</v>
      </c>
      <c r="G38" s="219" t="s">
        <v>1528</v>
      </c>
    </row>
    <row r="39" spans="1:7" s="214" customFormat="1" ht="13.5" customHeight="1">
      <c r="A39" s="255" t="s">
        <v>1534</v>
      </c>
      <c r="B39" s="210" t="s">
        <v>1535</v>
      </c>
      <c r="C39" s="232">
        <f ca="1">ROUND(C33*F20,0)</f>
        <v>13025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31552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30933</v>
      </c>
      <c r="D42" s="238"/>
      <c r="E42" s="238"/>
      <c r="F42" s="239"/>
      <c r="G42" s="3643" t="s">
        <v>1591</v>
      </c>
    </row>
    <row r="43" spans="1:7" ht="13.5" customHeight="1">
      <c r="A43" s="780" t="s">
        <v>347</v>
      </c>
      <c r="B43" s="215" t="s">
        <v>1545</v>
      </c>
      <c r="C43" s="238">
        <f ca="1">ROUND(IF('数据-取费表'!B22&lt;=1,C39*F22*'数据-取费表'!B20/2,C39*(POWER((1+F22),'数据-取费表'!B20/2)-1)),0)</f>
        <v>619</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199277</v>
      </c>
      <c r="D45" s="235">
        <f ca="1">C47</f>
        <v>6.0000000000000001E-3</v>
      </c>
      <c r="E45" s="236" t="s">
        <v>1539</v>
      </c>
      <c r="F45" s="246">
        <f ca="1">F27</f>
        <v>0.3</v>
      </c>
      <c r="G45" s="247" t="s">
        <v>1548</v>
      </c>
    </row>
    <row r="46" spans="1:7" s="214" customFormat="1" ht="13.5" customHeight="1">
      <c r="A46" s="780" t="s">
        <v>346</v>
      </c>
      <c r="B46" s="248" t="s">
        <v>1549</v>
      </c>
      <c r="C46" s="249">
        <f ca="1">ROUND((C33+C39)*F27,0)</f>
        <v>199277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973235</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618004</v>
      </c>
      <c r="D51" s="232"/>
      <c r="E51" s="232"/>
      <c r="F51" s="264"/>
      <c r="G51" s="234" t="s">
        <v>1560</v>
      </c>
    </row>
    <row r="52" spans="1:7" s="208" customFormat="1" ht="16.5" thickBot="1">
      <c r="A52" s="265" t="s">
        <v>1561</v>
      </c>
      <c r="B52" s="266"/>
      <c r="C52" s="267">
        <f ca="1">C31+C51</f>
        <v>7650751</v>
      </c>
      <c r="D52" s="266"/>
      <c r="E52" s="266"/>
      <c r="F52" s="266"/>
      <c r="G52" s="268"/>
    </row>
    <row r="55" spans="1:7" ht="15">
      <c r="B55" s="270" t="s">
        <v>1562</v>
      </c>
      <c r="C55" s="271"/>
    </row>
    <row r="56" spans="1:7">
      <c r="B56" s="273" t="s">
        <v>802</v>
      </c>
      <c r="C56" s="275">
        <f ca="1">1-C57</f>
        <v>0.91900000000000004</v>
      </c>
    </row>
    <row r="57" spans="1:7">
      <c r="B57" s="273" t="s">
        <v>803</v>
      </c>
      <c r="C57" s="274">
        <f ca="1">ROUND(C51/C52,3)</f>
        <v>8.1000000000000003E-2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3" sqref="G3"/>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438</v>
      </c>
      <c r="C2" s="1998" t="s">
        <v>1935</v>
      </c>
      <c r="D2" s="1999" t="s">
        <v>1936</v>
      </c>
      <c r="E2" s="3420"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59">
        <f>ROUND(SUMPRODUCT((B106:B110=R2)*(C105:N105=G2)*(C106:N110)),4)</f>
        <v>1.5206</v>
      </c>
      <c r="T2" s="3359">
        <f t="shared" ref="T2:T16" si="0">ROUND($C$5*$C$22*$C$23*$C$24*S2*$C$28,0)</f>
        <v>47881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30804</v>
      </c>
      <c r="C3" s="1998" t="s">
        <v>1941</v>
      </c>
      <c r="D3" s="1999" t="s">
        <v>1942</v>
      </c>
      <c r="E3" s="3418" t="s">
        <v>3386</v>
      </c>
      <c r="F3" s="2003"/>
      <c r="G3" s="3459">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38012</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32845</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30781</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29722</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28327</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5">
      <c r="A8" s="3297"/>
      <c r="B8" s="170" t="s">
        <v>1957</v>
      </c>
      <c r="C8" s="2025" t="s">
        <v>3433</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6"/>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3" t="s">
        <v>1982</v>
      </c>
      <c r="C13" s="755">
        <f>ROUND(C16*D16*E16*F16*G16*H16*I16*J16,4)</f>
        <v>1.1576</v>
      </c>
      <c r="D13" s="2034" t="s">
        <v>1983</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1985</v>
      </c>
      <c r="C14" s="2040"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t="s">
        <v>3388</v>
      </c>
      <c r="D15" s="2043" t="s">
        <v>3388</v>
      </c>
      <c r="E15" s="2043" t="s">
        <v>3387</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1.05</v>
      </c>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3" customFormat="1" ht="15" thickBot="1">
      <c r="A19" s="3333"/>
      <c r="B19" s="3334"/>
      <c r="C19" s="3335"/>
      <c r="D19" s="3335" t="s">
        <v>3254</v>
      </c>
      <c r="E19" s="3336"/>
      <c r="F19" s="3337" t="s">
        <v>3257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3" customFormat="1" ht="14.25">
      <c r="A20" s="3761" t="s">
        <v>3259</v>
      </c>
      <c r="B20" s="167" t="s">
        <v>1994</v>
      </c>
      <c r="C20" s="3323">
        <f>ROUND(IF(F21="与级别开发程度一致",0,(G21-E21)/C21),0)</f>
        <v>0</v>
      </c>
      <c r="D20" s="3339" t="s">
        <v>1998</v>
      </c>
      <c r="E20" s="3340"/>
      <c r="F20" s="3767" t="s">
        <v>1995</v>
      </c>
      <c r="G20" s="3768"/>
      <c r="H20" s="3324"/>
      <c r="I20" s="3324"/>
      <c r="J20" s="3325"/>
      <c r="K20" s="2045"/>
      <c r="L20" s="2045"/>
      <c r="M20" s="2045"/>
      <c r="N20" s="2045"/>
      <c r="O20" s="2046"/>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3389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45065</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2006</v>
      </c>
      <c r="C24" s="764">
        <f>ROUND(POWER(1+G24,J24-I24)*(POWER(1+G24,I24)-1)/(POWER(1+G24,J24)-1),4)</f>
        <v>0.91290000000000004</v>
      </c>
      <c r="D24" s="2058" t="s">
        <v>2007</v>
      </c>
      <c r="E24" s="1335">
        <f>存贷款利率!E22/100</f>
        <v>4.3499999999999997E-2</v>
      </c>
      <c r="F24" s="2058" t="s">
        <v>1999</v>
      </c>
      <c r="G24" s="768">
        <f>SUMIF(M30:Q30,E2,M33:Q33)</f>
        <v>0.05</v>
      </c>
      <c r="H24" s="2058" t="s">
        <v>2008</v>
      </c>
      <c r="I24" s="769">
        <f>SUMIF('数据-取费表'!C6:C15,E2,'数据-取费表'!F6:F15)/COUNTIF('数据-取费表'!C6:C15,E2)</f>
        <v>43.96</v>
      </c>
      <c r="J24" s="770">
        <f>IF(E2="住宅",70,IF(E2="商业",40,50))</f>
        <v>70</v>
      </c>
      <c r="K24" s="1125"/>
      <c r="L24" s="2059" t="s">
        <v>2009</v>
      </c>
      <c r="M24" s="1329">
        <f>ROUND(SUMPRODUCT((地价!A4:A16=YEAR(G23)&amp;"-"&amp;ROUNDUP(MONTH(G23)/3,0))*(地价!B2:G2=E2)*(地价!B4:G16)),0)</f>
        <v>0</v>
      </c>
      <c r="N24" s="2060" t="s">
        <v>2010</v>
      </c>
      <c r="O24" s="2061" t="s">
        <v>2011</v>
      </c>
      <c r="P24" s="2062"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3340</v>
      </c>
      <c r="C25" s="771">
        <f>IF(B25="容积率修正",IF(G3&lt;10,D26,J26),C27)</f>
        <v>0.97940000000000005</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2014</v>
      </c>
      <c r="B26" s="2068" t="s">
        <v>2015</v>
      </c>
      <c r="C26" s="3343"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3" t="s">
        <v>3263</v>
      </c>
      <c r="J26" s="772" t="str">
        <f>IF(G3&gt;=10,D115,"——")</f>
        <v>——</v>
      </c>
      <c r="K26" s="1125"/>
      <c r="L26" s="2786"/>
      <c r="M26" s="2786"/>
      <c r="N26" s="2067"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9"/>
      <c r="L27" s="1996"/>
      <c r="M27" s="1996"/>
      <c r="N27" s="2067"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1.0458000000000001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3"/>
      <c r="E29" s="2023"/>
      <c r="F29" s="2079"/>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2024</v>
      </c>
      <c r="C30" s="2319">
        <f>IF(B25="容积率修正",E33+SUM(E37:E42),SUM(V2:V16)+SUM(E37:E42))</f>
        <v>438</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2025</v>
      </c>
      <c r="C31" s="766">
        <f>E34+SUM(I37:I42)</f>
        <v>0</v>
      </c>
      <c r="D31" s="2085"/>
      <c r="E31" s="2086"/>
      <c r="F31" s="2087"/>
      <c r="G31" s="2086"/>
      <c r="H31" s="2086"/>
      <c r="I31" s="2086"/>
      <c r="J31" s="2088"/>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2030</v>
      </c>
      <c r="C33" s="175">
        <f>ROUND(C5*C22*C23*C24*C25*C28,0)</f>
        <v>30839</v>
      </c>
      <c r="D33" s="2096">
        <f>'数据-汇总表'!F19</f>
        <v>142.19</v>
      </c>
      <c r="E33" s="773">
        <f>ROUND(C33*D33/10000,0)</f>
        <v>438</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7710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6"/>
      <c r="E35" s="2107"/>
      <c r="F35" s="2107"/>
      <c r="G35" s="2034" t="s">
        <v>2034</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65"/>
      <c r="B37" s="2111" t="s">
        <v>2036</v>
      </c>
      <c r="C37" s="175">
        <f>ROUND(D5*C22*C23*C24*C28*F37,0)</f>
        <v>19041</v>
      </c>
      <c r="D37" s="2096"/>
      <c r="E37" s="171">
        <f>ROUND(C37*D37/10000,0)</f>
        <v>0</v>
      </c>
      <c r="F37" s="171">
        <f>SUMIF(修正!A57:A68,G2,修正!B57:B68)</f>
        <v>0.7</v>
      </c>
      <c r="G37" s="171">
        <f>ROUND(IF(E2="工业",C37*$M$42,C37*$M$41),0)</f>
        <v>4760</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66"/>
      <c r="B38" s="2040" t="s">
        <v>2037</v>
      </c>
      <c r="C38" s="175">
        <f>ROUND(D5*C22*C23*C24*C28*F38,0)</f>
        <v>10880</v>
      </c>
      <c r="D38" s="2096"/>
      <c r="E38" s="171">
        <f t="shared" ref="E38:E42" si="4">ROUND(C38*D38/10000,0)</f>
        <v>0</v>
      </c>
      <c r="F38" s="171">
        <f>SUMIF(修正!A57:A68,G2,修正!C57:C68)</f>
        <v>0.4</v>
      </c>
      <c r="G38" s="171">
        <f>ROUND(IF(E2="工业",C38*$M$42,C38*$M$41),0)</f>
        <v>2720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6"/>
      <c r="B39" s="2040" t="s">
        <v>3264</v>
      </c>
      <c r="C39" s="175">
        <f>ROUND(D5*C22*C23*C24*C28*F39,0)</f>
        <v>8160</v>
      </c>
      <c r="D39" s="2096"/>
      <c r="E39" s="171">
        <f t="shared" si="4"/>
        <v>0</v>
      </c>
      <c r="F39" s="171">
        <f>SUMIF(修正!A57:A68,G2,修正!D57:D68)</f>
        <v>0.3</v>
      </c>
      <c r="G39" s="171">
        <f>ROUND(IF(E2="工业",C39*$M$42,C39*$M$41),0)</f>
        <v>2040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2038</v>
      </c>
      <c r="C40" s="171">
        <f>ROUND(D5*C22*C23*C24*C28*F40,0)</f>
        <v>8160</v>
      </c>
      <c r="D40" s="2096"/>
      <c r="E40" s="171">
        <f t="shared" si="4"/>
        <v>0</v>
      </c>
      <c r="F40" s="175">
        <f>SUMIF(修正!A57:A68,G2,修正!E57:E68)</f>
        <v>0.3</v>
      </c>
      <c r="G40" s="171">
        <f>ROUND(IF(E2="工业",C40*$M$42,C40*$M$41),0)</f>
        <v>2040</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40"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1.0458000000000001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4.58E-2</v>
      </c>
      <c r="F72" s="1814">
        <f>IF(E2="住宅",SUMIF(L1:L12,G2,N1:N12),"——")</f>
        <v>8.1000000000000003E-2</v>
      </c>
      <c r="G72" s="1063">
        <v>8.0999999999999996E-3</v>
      </c>
      <c r="H72" s="1066">
        <f t="shared" ref="H72:H80" si="18">IFERROR(ROUNDDOWN($F$72*I72/2,4),"——")</f>
        <v>8.0999999999999996E-3</v>
      </c>
      <c r="I72" s="3365">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5">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6">
      <c r="A74" s="3367" t="s">
        <v>3274</v>
      </c>
      <c r="B74" s="2132">
        <f>估价对象房地状况!C19</f>
        <v>0</v>
      </c>
      <c r="C74" s="2043" t="s">
        <v>3392</v>
      </c>
      <c r="D74" s="1065">
        <f t="shared" si="17"/>
        <v>4.0000000000000001E-3</v>
      </c>
      <c r="E74" s="747"/>
      <c r="F74" s="1814"/>
      <c r="G74" s="1063">
        <v>4.0000000000000001E-3</v>
      </c>
      <c r="H74" s="1066">
        <f t="shared" si="18"/>
        <v>4.0000000000000001E-3</v>
      </c>
      <c r="I74" s="3365">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3" t="s">
        <v>3392</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6"/>
      <c r="Z75" s="1997"/>
      <c r="AA75" s="2051"/>
      <c r="AG75" s="1121"/>
      <c r="AK75" s="2051"/>
    </row>
    <row r="76" spans="1:37" ht="25.5">
      <c r="A76" s="2128"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1"/>
      <c r="AG76" s="1121"/>
      <c r="AK76" s="2051"/>
    </row>
    <row r="77" spans="1:37" ht="25.5">
      <c r="A77" s="2128"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1"/>
      <c r="AG77" s="1121"/>
      <c r="AK77" s="2051"/>
    </row>
    <row r="78" spans="1:37" ht="24">
      <c r="A78" s="2128" t="s">
        <v>2057</v>
      </c>
      <c r="B78" s="2134" t="s">
        <v>2058</v>
      </c>
      <c r="C78" s="2043" t="s">
        <v>3392</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6"/>
      <c r="P78" s="1996"/>
      <c r="Z78" s="1997"/>
      <c r="AA78" s="2051"/>
      <c r="AG78" s="1121"/>
      <c r="AK78" s="2051"/>
    </row>
    <row r="79" spans="1:37" ht="25.5">
      <c r="A79" s="2128" t="s">
        <v>2061</v>
      </c>
      <c r="B79" s="2131" t="str">
        <f>估价对象房地状况!C20</f>
        <v>区域自然环境：；人文环境；综合评价环境状况一般</v>
      </c>
      <c r="C79" s="2043" t="str">
        <f>'比较法-住宅'!C24</f>
        <v>较好</v>
      </c>
      <c r="D79" s="1065">
        <f t="shared" si="17"/>
        <v>4.7999999999999996E-3</v>
      </c>
      <c r="E79" s="747"/>
      <c r="F79" s="1814"/>
      <c r="G79" s="1063">
        <v>4.7999999999999996E-3</v>
      </c>
      <c r="H79" s="1066">
        <f t="shared" si="18"/>
        <v>4.7999999999999996E-3</v>
      </c>
      <c r="I79" s="3365">
        <v>0.12</v>
      </c>
      <c r="J79" s="1064">
        <f t="shared" si="19"/>
        <v>9.5999999999999992E-3</v>
      </c>
      <c r="K79" s="1064">
        <f t="shared" si="20"/>
        <v>4.7999999999999996E-3</v>
      </c>
      <c r="L79" s="1064">
        <v>0</v>
      </c>
      <c r="M79" s="1064">
        <f t="shared" si="21"/>
        <v>-4.7999999999999996E-3</v>
      </c>
      <c r="N79" s="1064">
        <f t="shared" si="21"/>
        <v>-9.5999999999999992E-3</v>
      </c>
      <c r="Z79" s="1997"/>
      <c r="AA79" s="2051"/>
      <c r="AG79" s="1121"/>
      <c r="AK79" s="2051"/>
    </row>
    <row r="80" spans="1:37" ht="24.75" thickBot="1">
      <c r="A80" s="2136" t="s">
        <v>2068</v>
      </c>
      <c r="B80" s="2140"/>
      <c r="C80" s="2043" t="s">
        <v>3391</v>
      </c>
      <c r="D80" s="1065">
        <f t="shared" si="17"/>
        <v>4.0000000000000001E-3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7"/>
      <c r="AA80" s="2051"/>
      <c r="AG80" s="1121"/>
      <c r="AK80" s="2051"/>
    </row>
    <row r="81" spans="1:37" ht="15">
      <c r="A81" s="2124" t="s">
        <v>2069</v>
      </c>
      <c r="B81" s="2125">
        <f>1+E83</f>
        <v>1</v>
      </c>
      <c r="C81" s="741"/>
      <c r="D81" s="741"/>
      <c r="E81" s="742"/>
      <c r="F81" s="2127"/>
      <c r="G81" s="3"/>
      <c r="H81" s="3"/>
      <c r="I81" s="3"/>
      <c r="J81" s="4"/>
      <c r="K81" s="4"/>
      <c r="L81" s="4"/>
      <c r="M81" s="4"/>
      <c r="N81" s="4"/>
      <c r="Z81" s="1997"/>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7"/>
      <c r="AA82" s="2051"/>
      <c r="AG82" s="1121"/>
      <c r="AK82" s="2051"/>
    </row>
    <row r="83" spans="1:37" ht="38.25">
      <c r="A83" s="2128" t="s">
        <v>2070</v>
      </c>
      <c r="B83" s="2132"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2053</v>
      </c>
      <c r="B84" s="2132"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1"/>
      <c r="AG84" s="1121"/>
      <c r="AK84" s="2051"/>
    </row>
    <row r="85" spans="1:37" ht="36">
      <c r="A85" s="3367" t="s">
        <v>3275</v>
      </c>
      <c r="B85" s="2132">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1"/>
      <c r="AG85" s="1121"/>
      <c r="AK85" s="2051"/>
    </row>
    <row r="86" spans="1:37" ht="14.25">
      <c r="A86" s="2128" t="s">
        <v>2067</v>
      </c>
      <c r="B86" s="2132">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1"/>
      <c r="AG86" s="1121"/>
      <c r="AK86" s="2051"/>
    </row>
    <row r="87" spans="1:37" ht="25.5">
      <c r="A87" s="2128"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3299</v>
      </c>
      <c r="B103" s="3763"/>
      <c r="C103" s="3763"/>
      <c r="D103" s="3763"/>
      <c r="E103" s="3763"/>
      <c r="F103" s="3763"/>
      <c r="G103" s="3763"/>
      <c r="H103" s="3763"/>
      <c r="I103" s="3763"/>
      <c r="J103" s="3763"/>
      <c r="K103" s="3388"/>
      <c r="L103" s="3388"/>
      <c r="M103" s="3388"/>
      <c r="N103" s="3388"/>
    </row>
    <row r="104" spans="1:14">
      <c r="A104" s="3764" t="s">
        <v>3300</v>
      </c>
      <c r="B104" s="3764" t="s">
        <v>3301</v>
      </c>
      <c r="C104" s="3389" t="s">
        <v>3302</v>
      </c>
      <c r="D104" s="3390"/>
      <c r="E104" s="3390"/>
      <c r="F104" s="3390"/>
      <c r="G104" s="3390"/>
      <c r="H104" s="3390"/>
      <c r="I104" s="3390"/>
      <c r="J104" s="3391"/>
      <c r="K104" s="3392"/>
      <c r="L104" s="3392"/>
      <c r="M104" s="3392"/>
      <c r="N104" s="3392"/>
    </row>
    <row r="105" spans="1:14">
      <c r="A105" s="3764"/>
      <c r="B105" s="3764"/>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0"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3316</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2.8</v>
      </c>
      <c r="C116" s="3398" t="s">
        <v>3318</v>
      </c>
      <c r="D116" s="3399">
        <f>SUMPRODUCT((A118:A122=F116)*(B117:M117=H116)*B118:M122)</f>
        <v>0.91259999999999997</v>
      </c>
      <c r="E116" s="1999" t="s">
        <v>3319</v>
      </c>
      <c r="F116" s="3400" t="str">
        <f>E2</f>
        <v>住宅</v>
      </c>
      <c r="G116" s="1999" t="s">
        <v>3320</v>
      </c>
      <c r="H116" s="3400" t="str">
        <f>G2</f>
        <v>二级</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0.96599999999999997</v>
      </c>
      <c r="C118" s="3386">
        <f>B118</f>
        <v>0.96599999999999997</v>
      </c>
      <c r="D118" s="3386">
        <f>ROUND(0.949-0.014*B116,4)</f>
        <v>0.90980000000000005</v>
      </c>
      <c r="E118" s="3386">
        <f>D118</f>
        <v>0.90980000000000005</v>
      </c>
      <c r="F118" s="3386">
        <f>E118</f>
        <v>0.90980000000000005</v>
      </c>
      <c r="G118" s="3386">
        <f>F118</f>
        <v>0.90980000000000005</v>
      </c>
      <c r="H118" s="3386">
        <f>G118</f>
        <v>0.90980000000000005</v>
      </c>
      <c r="I118" s="3386">
        <f>ROUND(0.8486-0.018*B116,4)</f>
        <v>0.79820000000000002</v>
      </c>
      <c r="J118" s="3386">
        <f t="shared" ref="J118:M122" si="35">I118</f>
        <v>0.79820000000000002</v>
      </c>
      <c r="K118" s="3386">
        <f t="shared" si="35"/>
        <v>0.79820000000000002</v>
      </c>
      <c r="L118" s="3386">
        <f t="shared" si="35"/>
        <v>0.79820000000000002</v>
      </c>
      <c r="M118" s="3409">
        <f t="shared" si="35"/>
        <v>0.79820000000000002</v>
      </c>
      <c r="N118" s="3396"/>
    </row>
    <row r="119" spans="1:14">
      <c r="A119" s="3408" t="s">
        <v>3334</v>
      </c>
      <c r="B119" s="3386">
        <f>ROUND(0.993-0.0112*B116,4)</f>
        <v>0.96160000000000001</v>
      </c>
      <c r="C119" s="3386">
        <f>B119</f>
        <v>0.96160000000000001</v>
      </c>
      <c r="D119" s="3386">
        <f>ROUND(0.9415-0.0142*B116,4)</f>
        <v>0.90169999999999995</v>
      </c>
      <c r="E119" s="3386">
        <f t="shared" ref="E119:H120" si="36">D119</f>
        <v>0.90169999999999995</v>
      </c>
      <c r="F119" s="3386">
        <f t="shared" si="36"/>
        <v>0.90169999999999995</v>
      </c>
      <c r="G119" s="3386">
        <f t="shared" si="36"/>
        <v>0.90169999999999995</v>
      </c>
      <c r="H119" s="3386">
        <f t="shared" si="36"/>
        <v>0.90169999999999995</v>
      </c>
      <c r="I119" s="3386">
        <f>ROUND(0.838-0.0182*B116,4)</f>
        <v>0.78700000000000003</v>
      </c>
      <c r="J119" s="3386">
        <f t="shared" si="35"/>
        <v>0.78700000000000003</v>
      </c>
      <c r="K119" s="3386">
        <f t="shared" si="35"/>
        <v>0.78700000000000003</v>
      </c>
      <c r="L119" s="3386">
        <f t="shared" si="35"/>
        <v>0.78700000000000003</v>
      </c>
      <c r="M119" s="3409">
        <f t="shared" si="35"/>
        <v>0.78700000000000003</v>
      </c>
      <c r="N119" s="3396"/>
    </row>
    <row r="120" spans="1:14">
      <c r="A120" s="3408" t="s">
        <v>3335</v>
      </c>
      <c r="B120" s="3386">
        <f>ROUND(0.9448-0.0115*B116,4)</f>
        <v>0.91259999999999997</v>
      </c>
      <c r="C120" s="3386">
        <f>B120</f>
        <v>0.91259999999999997</v>
      </c>
      <c r="D120" s="3386">
        <f>ROUND(0.937-0.0145*B116,4)</f>
        <v>0.89639999999999997</v>
      </c>
      <c r="E120" s="3386">
        <f t="shared" si="36"/>
        <v>0.89639999999999997</v>
      </c>
      <c r="F120" s="3386">
        <f t="shared" si="36"/>
        <v>0.89639999999999997</v>
      </c>
      <c r="G120" s="3386">
        <f t="shared" si="36"/>
        <v>0.89639999999999997</v>
      </c>
      <c r="H120" s="3386">
        <f t="shared" si="36"/>
        <v>0.89639999999999997</v>
      </c>
      <c r="I120" s="3386">
        <f>ROUND(0.7965-0.0185*B116,4)</f>
        <v>0.74470000000000003</v>
      </c>
      <c r="J120" s="3386">
        <f t="shared" si="35"/>
        <v>0.74470000000000003</v>
      </c>
      <c r="K120" s="3386">
        <f t="shared" si="35"/>
        <v>0.74470000000000003</v>
      </c>
      <c r="L120" s="3386">
        <f t="shared" si="35"/>
        <v>0.74470000000000003</v>
      </c>
      <c r="M120" s="3409">
        <f t="shared" si="35"/>
        <v>0.74470000000000003</v>
      </c>
      <c r="N120" s="3396"/>
    </row>
    <row r="121" spans="1:14" ht="13.5" thickBot="1">
      <c r="A121" s="3410" t="s">
        <v>3336</v>
      </c>
      <c r="B121" s="3411">
        <f>ROUND(0.7836-0.012*B116,4)</f>
        <v>0.75</v>
      </c>
      <c r="C121" s="3411">
        <f>B121</f>
        <v>0.75</v>
      </c>
      <c r="D121" s="3411">
        <f>ROUND(0.753-0.015*B116,4)</f>
        <v>0.71099999999999997</v>
      </c>
      <c r="E121" s="3411">
        <f>D121</f>
        <v>0.71099999999999997</v>
      </c>
      <c r="F121" s="3411">
        <f>E121</f>
        <v>0.71099999999999997</v>
      </c>
      <c r="G121" s="3411">
        <f>ROUND(0.6612-0.018*B116,4)</f>
        <v>0.61080000000000001</v>
      </c>
      <c r="H121" s="3411">
        <f>G121</f>
        <v>0.61080000000000001</v>
      </c>
      <c r="I121" s="3411">
        <f>ROUND(0.5905-0.019*B116,4)</f>
        <v>0.5373</v>
      </c>
      <c r="J121" s="3411">
        <f t="shared" si="35"/>
        <v>0.5373</v>
      </c>
      <c r="K121" s="3411">
        <f t="shared" si="35"/>
        <v>0.5373</v>
      </c>
      <c r="L121" s="3411">
        <f t="shared" si="35"/>
        <v>0.5373</v>
      </c>
      <c r="M121" s="3412">
        <f t="shared" si="35"/>
        <v>0.5373</v>
      </c>
      <c r="N121" s="3396"/>
    </row>
    <row r="122" spans="1:14">
      <c r="A122" s="3413" t="s">
        <v>2615</v>
      </c>
      <c r="B122" s="3386">
        <f>ROUND(0.9404-0.0106*B116,4)</f>
        <v>0.91069999999999995</v>
      </c>
      <c r="C122" s="3386">
        <f>B122</f>
        <v>0.91069999999999995</v>
      </c>
      <c r="D122" s="3386">
        <f>ROUND(0.8955-0.0135*B116,4)</f>
        <v>0.85770000000000002</v>
      </c>
      <c r="E122" s="3386">
        <f t="shared" ref="E122:H122" si="37">D122</f>
        <v>0.85770000000000002</v>
      </c>
      <c r="F122" s="3386">
        <f t="shared" si="37"/>
        <v>0.85770000000000002</v>
      </c>
      <c r="G122" s="3386">
        <f t="shared" si="37"/>
        <v>0.85770000000000002</v>
      </c>
      <c r="H122" s="3386">
        <f t="shared" si="37"/>
        <v>0.85770000000000002</v>
      </c>
      <c r="I122" s="3386">
        <f>ROUND(0.7632-0.0166*B116,4)</f>
        <v>0.7167</v>
      </c>
      <c r="J122" s="3386">
        <f t="shared" si="35"/>
        <v>0.7167</v>
      </c>
      <c r="K122" s="3386">
        <f t="shared" si="35"/>
        <v>0.7167</v>
      </c>
      <c r="L122" s="3386">
        <f t="shared" si="35"/>
        <v>0.7167</v>
      </c>
      <c r="M122" s="3409">
        <f t="shared" si="35"/>
        <v>0.7167</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43.96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367.0523</v>
      </c>
      <c r="C2" s="1387" t="s">
        <v>879</v>
      </c>
      <c r="D2" s="1471">
        <f ca="1">C40+J29+L46</f>
        <v>3670523</v>
      </c>
      <c r="E2" s="1388" t="s">
        <v>880</v>
      </c>
      <c r="F2" s="1389"/>
      <c r="G2" s="2704"/>
      <c r="H2" s="2693"/>
      <c r="I2" s="2693"/>
      <c r="J2" s="2693"/>
      <c r="K2" s="2694"/>
      <c r="L2" s="2693"/>
      <c r="M2" s="2693"/>
    </row>
    <row r="3" spans="1:37" ht="18" customHeight="1" thickBot="1">
      <c r="A3" s="1390" t="s">
        <v>881</v>
      </c>
      <c r="B3" s="1391">
        <f ca="1">IF(ISERROR(D2/F43),0,ROUND(D2/F43,0))</f>
        <v>25814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162000</v>
      </c>
      <c r="D6" s="155" t="s">
        <v>2106</v>
      </c>
      <c r="E6" s="302" t="s">
        <v>696</v>
      </c>
      <c r="F6" s="303">
        <f ca="1">INDIRECT("'数据-取费表'!u"&amp;$G$1)</f>
        <v>15000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v>
      </c>
      <c r="G7" s="1384"/>
      <c r="H7" s="304"/>
      <c r="I7" s="3649"/>
      <c r="J7" s="306"/>
      <c r="K7" s="307"/>
      <c r="L7" s="302" t="s">
        <v>697</v>
      </c>
      <c r="M7" s="303">
        <f ca="1">F7</f>
        <v>1</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618004</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568760</v>
      </c>
      <c r="D14" s="1345" t="s">
        <v>708</v>
      </c>
      <c r="E14" s="1342"/>
      <c r="F14" s="319"/>
      <c r="G14" s="1384"/>
      <c r="H14" s="982" t="s">
        <v>398</v>
      </c>
      <c r="I14" s="302" t="s">
        <v>709</v>
      </c>
      <c r="J14" s="21">
        <f ca="1">C29</f>
        <v>973235</v>
      </c>
      <c r="K14" s="12"/>
      <c r="L14" s="807"/>
      <c r="M14" s="808"/>
    </row>
    <row r="15" spans="1:37" s="1397" customFormat="1" ht="18" customHeight="1" thickBot="1">
      <c r="A15" s="982" t="s">
        <v>399</v>
      </c>
      <c r="B15" s="302" t="s">
        <v>710</v>
      </c>
      <c r="C15" s="21">
        <f ca="1">ROUND(C14*F15,0)</f>
        <v>17063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28438</v>
      </c>
      <c r="D16" s="302" t="s">
        <v>711</v>
      </c>
      <c r="E16" s="302" t="s">
        <v>712</v>
      </c>
      <c r="F16" s="322">
        <f ca="1">IF(INDIRECT("'数据-取费表'!c"&amp;$G$1)="住宅",'数据-取费表'!B34,0)</f>
        <v>0.05</v>
      </c>
      <c r="G16" s="1384"/>
      <c r="H16" s="1079" t="s">
        <v>393</v>
      </c>
      <c r="I16" s="1080" t="s">
        <v>714</v>
      </c>
      <c r="J16" s="310">
        <f ca="1">ROUND(J17+J22+J23+J24,0)</f>
        <v>14599</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651230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13025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14599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31552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-14599</v>
      </c>
      <c r="K25" s="1095" t="s">
        <v>753</v>
      </c>
      <c r="L25" s="1096"/>
      <c r="M25" s="1097"/>
    </row>
    <row r="26" spans="1:37" ht="18" customHeight="1">
      <c r="A26" s="982" t="s">
        <v>397</v>
      </c>
      <c r="B26" s="302" t="s">
        <v>754</v>
      </c>
      <c r="C26" s="21">
        <f ca="1">ROUND((C19+C20)*F26,0)</f>
        <v>199277</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973235</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22125</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3857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14599</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1236</v>
      </c>
      <c r="D37" s="1344" t="s">
        <v>743</v>
      </c>
      <c r="E37" s="302" t="s">
        <v>744</v>
      </c>
      <c r="F37" s="330">
        <f ca="1">INDIRECT("'数据-取费表'!Al"&amp;$G$1)</f>
        <v>2E-3</v>
      </c>
      <c r="G37" s="1384"/>
      <c r="H37" s="2698"/>
      <c r="I37" s="1398"/>
      <c r="J37" s="1399"/>
      <c r="K37" s="2542"/>
      <c r="L37" s="2698"/>
      <c r="M37" s="2698"/>
    </row>
    <row r="38" spans="1:18" ht="18" customHeight="1" thickBot="1">
      <c r="A38" s="1089" t="s">
        <v>684</v>
      </c>
      <c r="B38" s="1090" t="s">
        <v>728</v>
      </c>
      <c r="C38" s="1091">
        <f ca="1">ROUND(C5*F38,0)</f>
        <v>2433</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140078</v>
      </c>
      <c r="D39" s="1095" t="s">
        <v>773</v>
      </c>
      <c r="E39" s="1096"/>
      <c r="F39" s="1097"/>
      <c r="G39" s="1384"/>
      <c r="H39" s="2698"/>
      <c r="I39" s="1398"/>
      <c r="J39" s="1399"/>
      <c r="K39" s="2702"/>
      <c r="L39" s="2698"/>
      <c r="M39" s="2698"/>
    </row>
    <row r="40" spans="1:18" ht="18" customHeight="1">
      <c r="A40" s="299" t="s">
        <v>395</v>
      </c>
      <c r="B40" s="300" t="s">
        <v>774</v>
      </c>
      <c r="C40" s="301">
        <f ca="1">ROUND(C39*(1-((1+F42)/(1+F40))^F41)/(F40-F42),0)</f>
        <v>3670523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43.96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25814</v>
      </c>
      <c r="D43" s="337" t="s">
        <v>777</v>
      </c>
      <c r="E43" s="338" t="s">
        <v>778</v>
      </c>
      <c r="F43" s="339">
        <f ca="1">INDIRECT("'数据-取费表'!k"&amp;$G$1)</f>
        <v>142.19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-397.15899999999999</v>
      </c>
      <c r="D45" s="3430" t="s">
        <v>3358</v>
      </c>
      <c r="E45" s="1400"/>
      <c r="F45" s="1400"/>
      <c r="O45" s="1403" t="s">
        <v>808</v>
      </c>
      <c r="P45" s="1461"/>
      <c r="Q45" s="1461"/>
      <c r="R45" s="1461"/>
    </row>
    <row r="46" spans="1:18" s="1384" customFormat="1" ht="13.5" thickBot="1">
      <c r="A46" s="1404" t="s">
        <v>809</v>
      </c>
      <c r="C46" s="1405">
        <f ca="1">ROUND(C45,0)</f>
        <v>-397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3670523</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43.96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973235</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43.96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43.96</v>
      </c>
      <c r="K53" s="3646" t="s">
        <v>837</v>
      </c>
      <c r="L53" s="3647"/>
      <c r="O53" s="1418" t="s">
        <v>409</v>
      </c>
      <c r="P53" s="1419" t="s">
        <v>838</v>
      </c>
      <c r="Q53" s="1420">
        <f ca="1">Q47+Q48</f>
        <v>3670523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618004</v>
      </c>
      <c r="D56" s="1447"/>
      <c r="E56" s="1448"/>
      <c r="F56" s="1440"/>
      <c r="I56" s="1449" t="s">
        <v>842</v>
      </c>
      <c r="J56" s="1450"/>
      <c r="K56" s="1421" t="s">
        <v>843</v>
      </c>
      <c r="L56" s="1424">
        <f ca="1">IF(L48&lt;J51,"——",L48-J51)</f>
        <v>43.96</v>
      </c>
      <c r="O56" s="1418" t="s">
        <v>403</v>
      </c>
      <c r="P56" s="1419" t="s">
        <v>817</v>
      </c>
      <c r="Q56" s="1420">
        <f ca="1">C40+J29</f>
        <v>3670523</v>
      </c>
      <c r="R56" s="1420" t="s">
        <v>818</v>
      </c>
    </row>
    <row r="57" spans="1:18" s="1384" customFormat="1" ht="24.75" thickBot="1">
      <c r="A57" s="1451"/>
      <c r="B57" s="950" t="s">
        <v>767</v>
      </c>
      <c r="C57" s="238">
        <f ca="1">C29</f>
        <v>973235</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15835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3670523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14599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1236</v>
      </c>
      <c r="D65" s="964" t="s">
        <v>743</v>
      </c>
      <c r="E65" s="950" t="s">
        <v>744</v>
      </c>
      <c r="F65" s="330">
        <f t="shared" ca="1" si="0"/>
        <v>2E-3</v>
      </c>
      <c r="I65" s="1462" t="s">
        <v>867</v>
      </c>
      <c r="J65" s="1463">
        <v>40</v>
      </c>
      <c r="K65" s="1463">
        <v>30</v>
      </c>
      <c r="L65" s="1463">
        <v>50</v>
      </c>
      <c r="M65" s="1465">
        <v>0.02</v>
      </c>
      <c r="O65" s="1418" t="s">
        <v>403</v>
      </c>
      <c r="P65" s="1419" t="s">
        <v>868</v>
      </c>
      <c r="Q65" s="1420">
        <f ca="1">C40+J29</f>
        <v>3670523</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-15835</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-301067</v>
      </c>
      <c r="D68" s="965" t="s">
        <v>758</v>
      </c>
      <c r="E68" s="950" t="s">
        <v>759</v>
      </c>
      <c r="F68" s="312">
        <f ca="1">F40</f>
        <v>4.4999999999999998E-2</v>
      </c>
      <c r="O68" s="1428" t="s">
        <v>406</v>
      </c>
      <c r="P68" s="1467" t="s">
        <v>871</v>
      </c>
      <c r="Q68" s="1420">
        <f ca="1">ROUND(Q69-Q70*Q71,0)</f>
        <v>99908</v>
      </c>
      <c r="R68" s="1420" t="s">
        <v>414</v>
      </c>
    </row>
    <row r="69" spans="1:18" s="1384" customFormat="1" ht="13.5" thickBot="1">
      <c r="A69" s="951"/>
      <c r="B69" s="952"/>
      <c r="C69" s="306"/>
      <c r="D69" s="970" t="s">
        <v>762</v>
      </c>
      <c r="E69" s="950" t="s">
        <v>763</v>
      </c>
      <c r="F69" s="333">
        <f ca="1">F41</f>
        <v>43.96</v>
      </c>
      <c r="O69" s="1428" t="s">
        <v>411</v>
      </c>
      <c r="P69" s="1467" t="s">
        <v>872</v>
      </c>
      <c r="Q69" s="1420">
        <f ca="1">C39</f>
        <v>140078</v>
      </c>
      <c r="R69" s="1420" t="s">
        <v>818</v>
      </c>
    </row>
    <row r="70" spans="1:18" s="1384" customFormat="1" ht="13.5" thickBot="1">
      <c r="A70" s="954"/>
      <c r="B70" s="955"/>
      <c r="C70" s="310"/>
      <c r="D70" s="966"/>
      <c r="E70" s="950" t="s">
        <v>766</v>
      </c>
      <c r="F70" s="1054"/>
      <c r="O70" s="1428" t="s">
        <v>412</v>
      </c>
      <c r="P70" s="1467" t="s">
        <v>873</v>
      </c>
      <c r="Q70" s="1420">
        <f ca="1">C13</f>
        <v>618004</v>
      </c>
      <c r="R70" s="1420" t="s">
        <v>818</v>
      </c>
    </row>
    <row r="71" spans="1:18" s="1384" customFormat="1" ht="13.5" thickBot="1">
      <c r="A71" s="971" t="s">
        <v>396</v>
      </c>
      <c r="B71" s="972" t="s">
        <v>776</v>
      </c>
      <c r="C71" s="336">
        <f ca="1">ROUND(C68/F71,0)</f>
        <v>-2117</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40170</v>
      </c>
      <c r="D75" s="1384"/>
      <c r="E75" s="1384"/>
      <c r="F75" s="1384"/>
      <c r="K75" s="1402"/>
      <c r="L75" s="1384"/>
      <c r="O75" s="1418" t="s">
        <v>409</v>
      </c>
      <c r="P75" s="1419" t="s">
        <v>838</v>
      </c>
      <c r="Q75" s="1420">
        <f ca="1">Q65+Q66</f>
        <v>3670523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0.71300000000000008</v>
      </c>
    </row>
    <row r="80" spans="1:18">
      <c r="B80" s="340" t="s">
        <v>800</v>
      </c>
      <c r="C80" s="274">
        <f ca="1">ROUND(C75/C39,3)</f>
        <v>0.28699999999999998</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9" workbookViewId="0">
      <selection activeCell="O71" sqref="O7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6" t="s">
        <v>2610</v>
      </c>
      <c r="B20" s="3769" t="s">
        <v>2631</v>
      </c>
      <c r="C20" s="3101" t="s">
        <v>2442</v>
      </c>
      <c r="D20" s="3102"/>
      <c r="E20" s="3103">
        <v>1</v>
      </c>
      <c r="F20" s="3104" t="s">
        <v>2443</v>
      </c>
      <c r="G20" s="3104"/>
    </row>
    <row r="21" spans="1:13" ht="19.5" customHeight="1">
      <c r="A21" s="3777"/>
      <c r="B21" s="3770"/>
      <c r="C21" s="3105" t="s">
        <v>2444</v>
      </c>
      <c r="D21" s="3106"/>
      <c r="E21" s="3107">
        <v>1</v>
      </c>
      <c r="F21" s="3104" t="s">
        <v>2445</v>
      </c>
      <c r="G21" s="3104"/>
    </row>
    <row r="22" spans="1:13" ht="19.5" customHeight="1">
      <c r="A22" s="3777"/>
      <c r="B22" s="3770"/>
      <c r="C22" s="3105" t="s">
        <v>2446</v>
      </c>
      <c r="D22" s="3106"/>
      <c r="E22" s="3107">
        <v>0.9</v>
      </c>
      <c r="F22" s="3104" t="s">
        <v>2447</v>
      </c>
      <c r="G22" s="3104"/>
    </row>
    <row r="23" spans="1:13" ht="19.5" customHeight="1">
      <c r="A23" s="3777"/>
      <c r="B23" s="3770"/>
      <c r="C23" s="3105" t="s">
        <v>2448</v>
      </c>
      <c r="D23" s="3106"/>
      <c r="E23" s="3107">
        <v>0.9</v>
      </c>
      <c r="F23" s="3104" t="s">
        <v>2449</v>
      </c>
      <c r="G23" s="3104"/>
    </row>
    <row r="24" spans="1:13" ht="19.5" customHeight="1">
      <c r="A24" s="3777"/>
      <c r="B24" s="3770"/>
      <c r="C24" s="3105" t="s">
        <v>2450</v>
      </c>
      <c r="D24" s="3106"/>
      <c r="E24" s="3107">
        <v>0.8</v>
      </c>
      <c r="F24" s="3104" t="s">
        <v>2451</v>
      </c>
      <c r="G24" s="3104"/>
    </row>
    <row r="25" spans="1:13" ht="19.5" customHeight="1" thickBot="1">
      <c r="A25" s="3778"/>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69" t="s">
        <v>2615</v>
      </c>
      <c r="C27" s="3101" t="s">
        <v>2455</v>
      </c>
      <c r="D27" s="3102"/>
      <c r="E27" s="3103">
        <v>1</v>
      </c>
      <c r="F27" s="3104" t="s">
        <v>2456</v>
      </c>
      <c r="G27" s="3104"/>
    </row>
    <row r="28" spans="1:13" ht="19.5" customHeight="1">
      <c r="A28" s="3773"/>
      <c r="B28" s="3770"/>
      <c r="C28" s="3105" t="s">
        <v>2457</v>
      </c>
      <c r="D28" s="3106"/>
      <c r="E28" s="3107">
        <v>1</v>
      </c>
      <c r="F28" s="3104" t="s">
        <v>2458</v>
      </c>
      <c r="G28" s="3104"/>
    </row>
    <row r="29" spans="1:13" ht="19.5" customHeight="1">
      <c r="A29" s="3773"/>
      <c r="B29" s="3770"/>
      <c r="C29" s="3105" t="s">
        <v>2459</v>
      </c>
      <c r="D29" s="3106"/>
      <c r="E29" s="3107">
        <v>0.8</v>
      </c>
      <c r="F29" s="3104" t="s">
        <v>2460</v>
      </c>
      <c r="G29" s="3104"/>
    </row>
    <row r="30" spans="1:13" ht="19.5" customHeight="1">
      <c r="A30" s="3773"/>
      <c r="B30" s="3770"/>
      <c r="C30" s="3105" t="s">
        <v>2461</v>
      </c>
      <c r="D30" s="3106"/>
      <c r="E30" s="3107">
        <v>0.8</v>
      </c>
      <c r="F30" s="3104" t="s">
        <v>2462</v>
      </c>
      <c r="G30" s="3104"/>
    </row>
    <row r="31" spans="1:13" ht="19.5" customHeight="1">
      <c r="A31" s="3773"/>
      <c r="B31" s="3770"/>
      <c r="C31" s="3105" t="s">
        <v>2463</v>
      </c>
      <c r="D31" s="3106"/>
      <c r="E31" s="3107">
        <v>0.8</v>
      </c>
      <c r="F31" s="3104" t="s">
        <v>2464</v>
      </c>
      <c r="G31" s="3104"/>
    </row>
    <row r="32" spans="1:13" ht="19.5" customHeight="1">
      <c r="A32" s="3773"/>
      <c r="B32" s="3770"/>
      <c r="C32" s="3105" t="s">
        <v>2465</v>
      </c>
      <c r="D32" s="3106"/>
      <c r="E32" s="3107">
        <v>0.7</v>
      </c>
      <c r="F32" s="3104" t="s">
        <v>2466</v>
      </c>
      <c r="G32" s="3104"/>
    </row>
    <row r="33" spans="1:7" ht="19.5" customHeight="1">
      <c r="A33" s="3773"/>
      <c r="B33" s="3770"/>
      <c r="C33" s="3105" t="s">
        <v>2467</v>
      </c>
      <c r="D33" s="3106"/>
      <c r="E33" s="3107">
        <v>0.8</v>
      </c>
      <c r="F33" s="3104" t="s">
        <v>2468</v>
      </c>
      <c r="G33" s="3104"/>
    </row>
    <row r="34" spans="1:7" ht="19.5" customHeight="1">
      <c r="A34" s="3773"/>
      <c r="B34" s="3770"/>
      <c r="C34" s="3105" t="s">
        <v>2469</v>
      </c>
      <c r="D34" s="3106"/>
      <c r="E34" s="3107">
        <v>0.6</v>
      </c>
      <c r="F34" s="3104" t="s">
        <v>2470</v>
      </c>
      <c r="G34" s="3104"/>
    </row>
    <row r="35" spans="1:7" ht="19.5" customHeight="1">
      <c r="A35" s="3773"/>
      <c r="B35" s="3770"/>
      <c r="C35" s="3105" t="s">
        <v>2471</v>
      </c>
      <c r="D35" s="3106"/>
      <c r="E35" s="3107">
        <v>0.2</v>
      </c>
      <c r="F35" s="3104" t="s">
        <v>2472</v>
      </c>
      <c r="G35" s="3104"/>
    </row>
    <row r="36" spans="1:7" ht="19.5" customHeight="1">
      <c r="A36" s="3773"/>
      <c r="B36" s="3770"/>
      <c r="C36" s="3105" t="s">
        <v>2473</v>
      </c>
      <c r="D36" s="3106"/>
      <c r="E36" s="3107">
        <v>0.2</v>
      </c>
      <c r="F36" s="3104" t="s">
        <v>2474</v>
      </c>
      <c r="G36" s="3104"/>
    </row>
    <row r="37" spans="1:7" ht="19.5" customHeight="1">
      <c r="A37" s="3773"/>
      <c r="B37" s="3775" t="s">
        <v>2635</v>
      </c>
      <c r="C37" s="3105" t="s">
        <v>2475</v>
      </c>
      <c r="D37" s="3106"/>
      <c r="E37" s="3107">
        <v>0.6</v>
      </c>
      <c r="F37" s="3104" t="s">
        <v>2476</v>
      </c>
      <c r="G37" s="3104"/>
    </row>
    <row r="38" spans="1:7" ht="19.5" customHeight="1">
      <c r="A38" s="3773"/>
      <c r="B38" s="3770"/>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6" t="s">
        <v>2613</v>
      </c>
      <c r="B41" s="3769" t="s">
        <v>2637</v>
      </c>
      <c r="C41" s="3101" t="s">
        <v>2482</v>
      </c>
      <c r="D41" s="3102"/>
      <c r="E41" s="3103">
        <v>1</v>
      </c>
      <c r="F41" s="3104" t="s">
        <v>2483</v>
      </c>
      <c r="G41" s="3104"/>
    </row>
    <row r="42" spans="1:7" ht="19.5" customHeight="1">
      <c r="A42" s="3777"/>
      <c r="B42" s="3770"/>
      <c r="C42" s="3105" t="s">
        <v>2484</v>
      </c>
      <c r="D42" s="3106"/>
      <c r="E42" s="3107">
        <v>1</v>
      </c>
      <c r="F42" s="3104" t="s">
        <v>2485</v>
      </c>
      <c r="G42" s="3104"/>
    </row>
    <row r="43" spans="1:7" ht="19.5" customHeight="1">
      <c r="A43" s="3777"/>
      <c r="B43" s="3779"/>
      <c r="C43" s="3105" t="s">
        <v>2486</v>
      </c>
      <c r="D43" s="3106"/>
      <c r="E43" s="3107">
        <v>1.5</v>
      </c>
      <c r="F43" s="3104" t="s">
        <v>2487</v>
      </c>
      <c r="G43" s="3104"/>
    </row>
    <row r="44" spans="1:7" ht="19.5" customHeight="1">
      <c r="A44" s="3777"/>
      <c r="B44" s="3116" t="s">
        <v>2638</v>
      </c>
      <c r="C44" s="3105" t="s">
        <v>2639</v>
      </c>
      <c r="D44" s="3106"/>
      <c r="E44" s="3107">
        <v>2</v>
      </c>
      <c r="F44" s="3104" t="s">
        <v>2488</v>
      </c>
      <c r="G44" s="3104"/>
    </row>
    <row r="45" spans="1:7" ht="19.5" customHeight="1">
      <c r="A45" s="3777"/>
      <c r="B45" s="3775" t="s">
        <v>2640</v>
      </c>
      <c r="C45" s="3105" t="s">
        <v>2489</v>
      </c>
      <c r="D45" s="3106"/>
      <c r="E45" s="3107">
        <v>1</v>
      </c>
      <c r="F45" s="3104" t="s">
        <v>2490</v>
      </c>
      <c r="G45" s="3104"/>
    </row>
    <row r="46" spans="1:7" ht="19.5" customHeight="1">
      <c r="A46" s="3777"/>
      <c r="B46" s="3770"/>
      <c r="C46" s="3105" t="s">
        <v>2491</v>
      </c>
      <c r="D46" s="3106"/>
      <c r="E46" s="3107">
        <v>1</v>
      </c>
      <c r="F46" s="3104" t="s">
        <v>2492</v>
      </c>
      <c r="G46" s="3104"/>
    </row>
    <row r="47" spans="1:7" ht="19.5" customHeight="1">
      <c r="A47" s="3777"/>
      <c r="B47" s="3770"/>
      <c r="C47" s="3105" t="s">
        <v>2493</v>
      </c>
      <c r="D47" s="3106"/>
      <c r="E47" s="3107">
        <v>1</v>
      </c>
      <c r="F47" s="3104" t="s">
        <v>2494</v>
      </c>
      <c r="G47" s="3104"/>
    </row>
    <row r="48" spans="1:7" ht="19.5" customHeight="1">
      <c r="A48" s="3777"/>
      <c r="B48" s="3770"/>
      <c r="C48" s="3105" t="s">
        <v>2495</v>
      </c>
      <c r="D48" s="3106"/>
      <c r="E48" s="3107">
        <v>1</v>
      </c>
      <c r="F48" s="3104" t="s">
        <v>2496</v>
      </c>
      <c r="G48" s="3104"/>
    </row>
    <row r="49" spans="1:7" ht="19.5" customHeight="1">
      <c r="A49" s="3777"/>
      <c r="B49" s="3770"/>
      <c r="C49" s="3105" t="s">
        <v>2497</v>
      </c>
      <c r="D49" s="3106"/>
      <c r="E49" s="3107">
        <v>1</v>
      </c>
      <c r="F49" s="3104" t="s">
        <v>2498</v>
      </c>
      <c r="G49" s="3104"/>
    </row>
    <row r="50" spans="1:7" ht="19.5" customHeight="1">
      <c r="A50" s="3777"/>
      <c r="B50" s="3770"/>
      <c r="C50" s="3105" t="s">
        <v>2499</v>
      </c>
      <c r="D50" s="3106"/>
      <c r="E50" s="3107">
        <v>1</v>
      </c>
      <c r="F50" s="3104" t="s">
        <v>2500</v>
      </c>
      <c r="G50" s="3104"/>
    </row>
    <row r="51" spans="1:7" ht="19.5" customHeight="1" thickBot="1">
      <c r="A51" s="3778"/>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5" t="s">
        <v>2654</v>
      </c>
      <c r="C73" s="3090" t="s">
        <v>2655</v>
      </c>
      <c r="D73" s="3090" t="s">
        <v>2656</v>
      </c>
      <c r="E73" s="3116">
        <v>0.2</v>
      </c>
      <c r="F73" s="3116">
        <v>25</v>
      </c>
    </row>
    <row r="74" spans="1:7" ht="24">
      <c r="A74" s="3116">
        <v>2</v>
      </c>
      <c r="B74" s="3770"/>
      <c r="C74" s="3090" t="s">
        <v>2657</v>
      </c>
      <c r="D74" s="3090" t="s">
        <v>2658</v>
      </c>
      <c r="E74" s="3116">
        <v>0.2</v>
      </c>
      <c r="F74" s="3116">
        <v>25</v>
      </c>
    </row>
    <row r="75" spans="1:7" ht="24">
      <c r="A75" s="3116">
        <v>3</v>
      </c>
      <c r="B75" s="3770"/>
      <c r="C75" s="3090" t="s">
        <v>2659</v>
      </c>
      <c r="D75" s="3090" t="s">
        <v>2660</v>
      </c>
      <c r="E75" s="3116">
        <v>0.2</v>
      </c>
      <c r="F75" s="3116">
        <v>25</v>
      </c>
    </row>
    <row r="76" spans="1:7" ht="13.5">
      <c r="A76" s="3116">
        <v>4</v>
      </c>
      <c r="B76" s="3770"/>
      <c r="C76" s="3090" t="s">
        <v>2661</v>
      </c>
      <c r="D76" s="3090" t="s">
        <v>2662</v>
      </c>
      <c r="E76" s="3116">
        <v>0.15</v>
      </c>
      <c r="F76" s="3116">
        <v>20</v>
      </c>
    </row>
    <row r="77" spans="1:7" ht="24">
      <c r="A77" s="3116">
        <v>5</v>
      </c>
      <c r="B77" s="3770"/>
      <c r="C77" s="3090" t="s">
        <v>2663</v>
      </c>
      <c r="D77" s="3090" t="s">
        <v>2664</v>
      </c>
      <c r="E77" s="3116">
        <v>0.15</v>
      </c>
      <c r="F77" s="3116">
        <v>20</v>
      </c>
    </row>
    <row r="78" spans="1:7" ht="24">
      <c r="A78" s="3116">
        <v>6</v>
      </c>
      <c r="B78" s="3770"/>
      <c r="C78" s="3090" t="s">
        <v>2665</v>
      </c>
      <c r="D78" s="3090" t="s">
        <v>2666</v>
      </c>
      <c r="E78" s="3116">
        <v>0.15</v>
      </c>
      <c r="F78" s="3116">
        <v>20</v>
      </c>
    </row>
    <row r="79" spans="1:7" ht="24">
      <c r="A79" s="3116">
        <v>7</v>
      </c>
      <c r="B79" s="3770"/>
      <c r="C79" s="3090" t="s">
        <v>2667</v>
      </c>
      <c r="D79" s="3090" t="s">
        <v>2668</v>
      </c>
      <c r="E79" s="3116">
        <v>0.15</v>
      </c>
      <c r="F79" s="3116">
        <v>20</v>
      </c>
    </row>
    <row r="80" spans="1:7" ht="24">
      <c r="A80" s="3116">
        <v>8</v>
      </c>
      <c r="B80" s="3770"/>
      <c r="C80" s="3090" t="s">
        <v>2669</v>
      </c>
      <c r="D80" s="3090" t="s">
        <v>2670</v>
      </c>
      <c r="E80" s="3116">
        <v>0.1</v>
      </c>
      <c r="F80" s="3116">
        <v>15</v>
      </c>
    </row>
    <row r="81" spans="1:6" ht="24">
      <c r="A81" s="3116">
        <v>9</v>
      </c>
      <c r="B81" s="3770"/>
      <c r="C81" s="3090" t="s">
        <v>2671</v>
      </c>
      <c r="D81" s="3090" t="s">
        <v>2672</v>
      </c>
      <c r="E81" s="3116">
        <v>0.1</v>
      </c>
      <c r="F81" s="3116">
        <v>15</v>
      </c>
    </row>
    <row r="82" spans="1:6" ht="24">
      <c r="A82" s="3116">
        <v>10</v>
      </c>
      <c r="B82" s="3770"/>
      <c r="C82" s="3090" t="s">
        <v>2673</v>
      </c>
      <c r="D82" s="3090" t="s">
        <v>2674</v>
      </c>
      <c r="E82" s="3116">
        <v>0.1</v>
      </c>
      <c r="F82" s="3116">
        <v>15</v>
      </c>
    </row>
    <row r="83" spans="1:6" ht="24">
      <c r="A83" s="3116">
        <v>11</v>
      </c>
      <c r="B83" s="3770"/>
      <c r="C83" s="3090" t="s">
        <v>2675</v>
      </c>
      <c r="D83" s="3090" t="s">
        <v>2676</v>
      </c>
      <c r="E83" s="3116">
        <v>0.1</v>
      </c>
      <c r="F83" s="3116">
        <v>15</v>
      </c>
    </row>
    <row r="84" spans="1:6" ht="24">
      <c r="A84" s="3116">
        <v>12</v>
      </c>
      <c r="B84" s="3770"/>
      <c r="C84" s="3090" t="s">
        <v>2677</v>
      </c>
      <c r="D84" s="3090" t="s">
        <v>2678</v>
      </c>
      <c r="E84" s="3116">
        <v>0.1</v>
      </c>
      <c r="F84" s="3116">
        <v>15</v>
      </c>
    </row>
    <row r="85" spans="1:6" ht="13.5">
      <c r="A85" s="3116">
        <v>13</v>
      </c>
      <c r="B85" s="3770"/>
      <c r="C85" s="3090" t="s">
        <v>2679</v>
      </c>
      <c r="D85" s="3090" t="s">
        <v>2680</v>
      </c>
      <c r="E85" s="3116">
        <v>0.1</v>
      </c>
      <c r="F85" s="3116">
        <v>15</v>
      </c>
    </row>
    <row r="86" spans="1:6" ht="13.5">
      <c r="A86" s="3116">
        <v>14</v>
      </c>
      <c r="B86" s="3770"/>
      <c r="C86" s="3090" t="s">
        <v>2681</v>
      </c>
      <c r="D86" s="3090" t="s">
        <v>2682</v>
      </c>
      <c r="E86" s="3116">
        <v>0.1</v>
      </c>
      <c r="F86" s="3116">
        <v>15</v>
      </c>
    </row>
    <row r="87" spans="1:6" ht="13.5">
      <c r="A87" s="3116">
        <v>15</v>
      </c>
      <c r="B87" s="3770"/>
      <c r="C87" s="3090" t="s">
        <v>2683</v>
      </c>
      <c r="D87" s="3090" t="s">
        <v>2684</v>
      </c>
      <c r="E87" s="3116">
        <v>0.1</v>
      </c>
      <c r="F87" s="3116">
        <v>15</v>
      </c>
    </row>
    <row r="88" spans="1:6" ht="24">
      <c r="A88" s="3116">
        <v>16</v>
      </c>
      <c r="B88" s="377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5" t="s">
        <v>2689</v>
      </c>
      <c r="C90" s="3090" t="s">
        <v>2690</v>
      </c>
      <c r="D90" s="3090" t="s">
        <v>2691</v>
      </c>
      <c r="E90" s="3116">
        <v>0.2</v>
      </c>
      <c r="F90" s="3116">
        <v>25</v>
      </c>
    </row>
    <row r="91" spans="1:6" ht="24">
      <c r="A91" s="3116">
        <v>19</v>
      </c>
      <c r="B91" s="3770"/>
      <c r="C91" s="3090" t="s">
        <v>2692</v>
      </c>
      <c r="D91" s="3090" t="s">
        <v>2693</v>
      </c>
      <c r="E91" s="3116">
        <v>0.2</v>
      </c>
      <c r="F91" s="3116">
        <v>25</v>
      </c>
    </row>
    <row r="92" spans="1:6" ht="13.5">
      <c r="A92" s="3116">
        <v>20</v>
      </c>
      <c r="B92" s="3770"/>
      <c r="C92" s="3090" t="s">
        <v>2694</v>
      </c>
      <c r="D92" s="3090" t="s">
        <v>2695</v>
      </c>
      <c r="E92" s="3116">
        <v>0.15</v>
      </c>
      <c r="F92" s="3116">
        <v>20</v>
      </c>
    </row>
    <row r="93" spans="1:6" ht="13.5">
      <c r="A93" s="3116">
        <v>21</v>
      </c>
      <c r="B93" s="3770"/>
      <c r="C93" s="3090" t="s">
        <v>2696</v>
      </c>
      <c r="D93" s="3090" t="s">
        <v>2697</v>
      </c>
      <c r="E93" s="3116">
        <v>0.15</v>
      </c>
      <c r="F93" s="3116">
        <v>20</v>
      </c>
    </row>
    <row r="94" spans="1:6" ht="13.5">
      <c r="A94" s="3116">
        <v>22</v>
      </c>
      <c r="B94" s="3770"/>
      <c r="C94" s="3090" t="s">
        <v>2698</v>
      </c>
      <c r="D94" s="3090" t="s">
        <v>2699</v>
      </c>
      <c r="E94" s="3116">
        <v>0.15</v>
      </c>
      <c r="F94" s="3116">
        <v>20</v>
      </c>
    </row>
    <row r="95" spans="1:6" ht="36">
      <c r="A95" s="3116">
        <v>23</v>
      </c>
      <c r="B95" s="3770"/>
      <c r="C95" s="3090" t="s">
        <v>2700</v>
      </c>
      <c r="D95" s="3090" t="s">
        <v>2701</v>
      </c>
      <c r="E95" s="3116">
        <v>0.15</v>
      </c>
      <c r="F95" s="3116">
        <v>20</v>
      </c>
    </row>
    <row r="96" spans="1:6" ht="13.5">
      <c r="A96" s="3116">
        <v>24</v>
      </c>
      <c r="B96" s="3770"/>
      <c r="C96" s="3090" t="s">
        <v>2702</v>
      </c>
      <c r="D96" s="3090" t="s">
        <v>2703</v>
      </c>
      <c r="E96" s="3116">
        <v>0.1</v>
      </c>
      <c r="F96" s="3116">
        <v>15</v>
      </c>
    </row>
    <row r="97" spans="1:6" ht="13.5">
      <c r="A97" s="3116">
        <v>25</v>
      </c>
      <c r="B97" s="3770"/>
      <c r="C97" s="3090" t="s">
        <v>2704</v>
      </c>
      <c r="D97" s="3090" t="s">
        <v>2705</v>
      </c>
      <c r="E97" s="3116">
        <v>0.1</v>
      </c>
      <c r="F97" s="3116">
        <v>15</v>
      </c>
    </row>
    <row r="98" spans="1:6" ht="24">
      <c r="A98" s="3116">
        <v>26</v>
      </c>
      <c r="B98" s="3770"/>
      <c r="C98" s="3090" t="s">
        <v>2706</v>
      </c>
      <c r="D98" s="3090" t="s">
        <v>2707</v>
      </c>
      <c r="E98" s="3116">
        <v>0.1</v>
      </c>
      <c r="F98" s="3116">
        <v>15</v>
      </c>
    </row>
    <row r="99" spans="1:6" ht="24">
      <c r="A99" s="3116">
        <v>27</v>
      </c>
      <c r="B99" s="3770"/>
      <c r="C99" s="3090" t="s">
        <v>2708</v>
      </c>
      <c r="D99" s="3090" t="s">
        <v>2709</v>
      </c>
      <c r="E99" s="3116">
        <v>0.1</v>
      </c>
      <c r="F99" s="3116">
        <v>15</v>
      </c>
    </row>
    <row r="100" spans="1:6" ht="13.5">
      <c r="A100" s="3116">
        <v>28</v>
      </c>
      <c r="B100" s="3770"/>
      <c r="C100" s="3090" t="s">
        <v>2710</v>
      </c>
      <c r="D100" s="3090" t="s">
        <v>2711</v>
      </c>
      <c r="E100" s="3116">
        <v>0.1</v>
      </c>
      <c r="F100" s="3116">
        <v>15</v>
      </c>
    </row>
    <row r="101" spans="1:6" ht="13.5">
      <c r="A101" s="3116">
        <v>29</v>
      </c>
      <c r="B101" s="3770"/>
      <c r="C101" s="3090" t="s">
        <v>2712</v>
      </c>
      <c r="D101" s="3090" t="s">
        <v>2713</v>
      </c>
      <c r="E101" s="3116">
        <v>0.1</v>
      </c>
      <c r="F101" s="3116">
        <v>15</v>
      </c>
    </row>
    <row r="102" spans="1:6" ht="13.5">
      <c r="A102" s="3116">
        <v>30</v>
      </c>
      <c r="B102" s="3770"/>
      <c r="C102" s="3090" t="s">
        <v>2714</v>
      </c>
      <c r="D102" s="3090" t="s">
        <v>2715</v>
      </c>
      <c r="E102" s="3116">
        <v>0.1</v>
      </c>
      <c r="F102" s="3116">
        <v>15</v>
      </c>
    </row>
    <row r="103" spans="1:6" ht="24">
      <c r="A103" s="3116">
        <v>31</v>
      </c>
      <c r="B103" s="3770"/>
      <c r="C103" s="3090" t="s">
        <v>2716</v>
      </c>
      <c r="D103" s="3090" t="s">
        <v>2717</v>
      </c>
      <c r="E103" s="3116">
        <v>0.1</v>
      </c>
      <c r="F103" s="3116">
        <v>15</v>
      </c>
    </row>
    <row r="104" spans="1:6" ht="24">
      <c r="A104" s="3116">
        <v>32</v>
      </c>
      <c r="B104" s="3770"/>
      <c r="C104" s="3090" t="s">
        <v>2718</v>
      </c>
      <c r="D104" s="3090" t="s">
        <v>2719</v>
      </c>
      <c r="E104" s="3116">
        <v>0.1</v>
      </c>
      <c r="F104" s="3116">
        <v>15</v>
      </c>
    </row>
    <row r="105" spans="1:6" ht="24">
      <c r="A105" s="3116">
        <v>33</v>
      </c>
      <c r="B105" s="377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5" t="s">
        <v>2724</v>
      </c>
      <c r="C107" s="3116" t="s">
        <v>2725</v>
      </c>
      <c r="D107" s="3090" t="s">
        <v>2726</v>
      </c>
      <c r="E107" s="3116">
        <v>0.15</v>
      </c>
      <c r="F107" s="3116">
        <v>20</v>
      </c>
    </row>
    <row r="108" spans="1:6" ht="13.5">
      <c r="A108" s="3116">
        <v>36</v>
      </c>
      <c r="B108" s="3770"/>
      <c r="C108" s="3116" t="s">
        <v>2727</v>
      </c>
      <c r="D108" s="3090" t="s">
        <v>2728</v>
      </c>
      <c r="E108" s="3116">
        <v>0.15</v>
      </c>
      <c r="F108" s="3116">
        <v>20</v>
      </c>
    </row>
    <row r="109" spans="1:6" ht="13.5">
      <c r="A109" s="3116">
        <v>37</v>
      </c>
      <c r="B109" s="3770"/>
      <c r="C109" s="3116" t="s">
        <v>2729</v>
      </c>
      <c r="D109" s="3090" t="s">
        <v>2730</v>
      </c>
      <c r="E109" s="3116">
        <v>0.15</v>
      </c>
      <c r="F109" s="3116">
        <v>20</v>
      </c>
    </row>
    <row r="110" spans="1:6" ht="13.5">
      <c r="A110" s="3116">
        <v>38</v>
      </c>
      <c r="B110" s="3770"/>
      <c r="C110" s="3116" t="s">
        <v>2731</v>
      </c>
      <c r="D110" s="3090" t="s">
        <v>2732</v>
      </c>
      <c r="E110" s="3116">
        <v>0.1</v>
      </c>
      <c r="F110" s="3116">
        <v>15</v>
      </c>
    </row>
    <row r="111" spans="1:6" ht="24">
      <c r="A111" s="3116">
        <v>39</v>
      </c>
      <c r="B111" s="377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80" t="s">
        <v>2737</v>
      </c>
      <c r="C113" s="3116" t="s">
        <v>2738</v>
      </c>
      <c r="D113" s="3090" t="s">
        <v>2739</v>
      </c>
      <c r="E113" s="3116">
        <v>0.1</v>
      </c>
      <c r="F113" s="3116">
        <v>15</v>
      </c>
    </row>
    <row r="114" spans="1:6" ht="13.5">
      <c r="A114" s="3116">
        <v>42</v>
      </c>
      <c r="B114" s="3780"/>
      <c r="C114" s="3116" t="s">
        <v>2740</v>
      </c>
      <c r="D114" s="3090" t="s">
        <v>2741</v>
      </c>
      <c r="E114" s="3116">
        <v>0.1</v>
      </c>
      <c r="F114" s="3116">
        <v>15</v>
      </c>
    </row>
    <row r="115" spans="1:6" ht="24">
      <c r="A115" s="3116">
        <v>43</v>
      </c>
      <c r="B115" s="3780"/>
      <c r="C115" s="3116" t="s">
        <v>2742</v>
      </c>
      <c r="D115" s="3090" t="s">
        <v>2743</v>
      </c>
      <c r="E115" s="3116">
        <v>0.1</v>
      </c>
      <c r="F115" s="3116">
        <v>15</v>
      </c>
    </row>
    <row r="116" spans="1:6" ht="13.5">
      <c r="A116" s="3116">
        <v>44</v>
      </c>
      <c r="B116" s="3775"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5"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5"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80" t="s">
        <v>2759</v>
      </c>
      <c r="C122" s="3116" t="s">
        <v>2760</v>
      </c>
      <c r="D122" s="3090" t="s">
        <v>2761</v>
      </c>
      <c r="E122" s="3116">
        <v>0.1</v>
      </c>
      <c r="F122" s="3116">
        <v>15</v>
      </c>
    </row>
    <row r="123" spans="1:6" ht="24">
      <c r="A123" s="3116">
        <v>51</v>
      </c>
      <c r="B123" s="3780"/>
      <c r="C123" s="3116" t="s">
        <v>2762</v>
      </c>
      <c r="D123" s="3090" t="s">
        <v>2763</v>
      </c>
      <c r="E123" s="3116">
        <v>0.1</v>
      </c>
      <c r="F123" s="3116">
        <v>15</v>
      </c>
    </row>
    <row r="124" spans="1:6" ht="24">
      <c r="A124" s="3116">
        <v>52</v>
      </c>
      <c r="B124" s="3780" t="s">
        <v>2764</v>
      </c>
      <c r="C124" s="3116" t="s">
        <v>2765</v>
      </c>
      <c r="D124" s="3090" t="s">
        <v>2766</v>
      </c>
      <c r="E124" s="3116">
        <v>0.1</v>
      </c>
      <c r="F124" s="3116">
        <v>15</v>
      </c>
    </row>
    <row r="125" spans="1:6" ht="24">
      <c r="A125" s="3116">
        <v>53</v>
      </c>
      <c r="B125" s="3780"/>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0" t="s">
        <v>2772</v>
      </c>
      <c r="C127" s="3116" t="s">
        <v>2773</v>
      </c>
      <c r="D127" s="3090" t="s">
        <v>2774</v>
      </c>
      <c r="E127" s="3116">
        <v>0.1</v>
      </c>
      <c r="F127" s="3116">
        <v>15</v>
      </c>
    </row>
    <row r="128" spans="1:6" ht="13.5">
      <c r="A128" s="3116">
        <v>56</v>
      </c>
      <c r="B128" s="3780"/>
      <c r="C128" s="3116" t="s">
        <v>2775</v>
      </c>
      <c r="D128" s="3090" t="s">
        <v>2776</v>
      </c>
      <c r="E128" s="3116">
        <v>0.1</v>
      </c>
      <c r="F128" s="3116">
        <v>15</v>
      </c>
    </row>
    <row r="129" spans="1:6" ht="24">
      <c r="A129" s="3116">
        <v>57</v>
      </c>
      <c r="B129" s="3780"/>
      <c r="C129" s="3116" t="s">
        <v>2777</v>
      </c>
      <c r="D129" s="3090" t="s">
        <v>2778</v>
      </c>
      <c r="E129" s="3116">
        <v>0.1</v>
      </c>
      <c r="F129" s="3116">
        <v>15</v>
      </c>
    </row>
    <row r="130" spans="1:6" ht="24">
      <c r="A130" s="3116">
        <v>58</v>
      </c>
      <c r="B130" s="3780" t="s">
        <v>2779</v>
      </c>
      <c r="C130" s="3116" t="s">
        <v>2780</v>
      </c>
      <c r="D130" s="3090" t="s">
        <v>2781</v>
      </c>
      <c r="E130" s="3116">
        <v>0.1</v>
      </c>
      <c r="F130" s="3116">
        <v>15</v>
      </c>
    </row>
    <row r="131" spans="1:6" ht="13.5">
      <c r="A131" s="3116">
        <v>59</v>
      </c>
      <c r="B131" s="3780"/>
      <c r="C131" s="3116" t="s">
        <v>2782</v>
      </c>
      <c r="D131" s="3090" t="s">
        <v>2783</v>
      </c>
      <c r="E131" s="3116">
        <v>0.1</v>
      </c>
      <c r="F131" s="3116">
        <v>15</v>
      </c>
    </row>
    <row r="132" spans="1:6" ht="13.5">
      <c r="A132" s="3116">
        <v>60</v>
      </c>
      <c r="B132" s="3775"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0" t="s">
        <v>2792</v>
      </c>
      <c r="C135" s="3116" t="s">
        <v>2793</v>
      </c>
      <c r="D135" s="3090" t="s">
        <v>2794</v>
      </c>
      <c r="E135" s="3116">
        <v>0.1</v>
      </c>
      <c r="F135" s="3116">
        <v>15</v>
      </c>
    </row>
    <row r="136" spans="1:6" ht="13.5">
      <c r="A136" s="3116">
        <v>64</v>
      </c>
      <c r="B136" s="3780"/>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1.0347999999999999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0.98009999999999997</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31983</v>
      </c>
      <c r="C2" s="2" t="s">
        <v>106</v>
      </c>
      <c r="D2" s="199"/>
      <c r="E2" s="199"/>
      <c r="F2" s="199"/>
      <c r="G2" s="199"/>
    </row>
    <row r="3" spans="1:7" s="200" customFormat="1" ht="18" customHeight="1" thickBot="1">
      <c r="A3" s="203" t="s">
        <v>58</v>
      </c>
      <c r="B3" s="204">
        <f ca="1">ROUND(B2*10000/'数据-汇总表'!E3,0)</f>
        <v>2249314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20</v>
      </c>
      <c r="D45" s="235">
        <f>C47</f>
        <v>6.0000000000000001E-3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98</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31983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2844</v>
      </c>
      <c r="B1" s="3783"/>
      <c r="C1" s="3783"/>
      <c r="D1" s="3783"/>
      <c r="E1" s="3783"/>
      <c r="F1" s="3783"/>
      <c r="G1" s="378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1"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3186</v>
      </c>
      <c r="B1" s="3785"/>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3237</v>
      </c>
      <c r="B1" s="3786"/>
      <c r="C1" s="3786"/>
      <c r="D1" s="3786"/>
      <c r="E1" s="3786"/>
      <c r="F1" s="3787"/>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R45" sqref="R45"/>
    </sheetView>
  </sheetViews>
  <sheetFormatPr defaultRowHeight="13.5"/>
  <cols>
    <col min="1" max="1" width="13.875" customWidth="1"/>
    <col min="11" max="17" width="0" hidden="1" customWidth="1"/>
    <col min="25" max="30" width="0" hidden="1" customWidth="1"/>
  </cols>
  <sheetData>
    <row r="1" spans="1:30">
      <c r="A1" s="3219">
        <f>基准地价修正!G23</f>
        <v>45065</v>
      </c>
      <c r="B1" s="3208" t="s">
        <v>2843</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8" t="s">
        <v>2831</v>
      </c>
      <c r="S21" s="3789"/>
      <c r="T21" s="3789"/>
      <c r="U21" s="3789"/>
      <c r="V21" s="3789"/>
      <c r="W21" s="3789"/>
      <c r="X21" s="3163"/>
      <c r="Y21" s="3788" t="s">
        <v>2832</v>
      </c>
      <c r="Z21" s="3789"/>
      <c r="AA21" s="3789"/>
      <c r="AB21" s="3789"/>
      <c r="AC21" s="3789"/>
      <c r="AD21" s="378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45077</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1"/>
      <c r="E18" s="3499" t="s">
        <v>2162</v>
      </c>
      <c r="F18" s="3498"/>
      <c r="G18" s="349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2023-05-31T09:20:24Z</dcterms:modified>
</cp:coreProperties>
</file>